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3.xml" ContentType="application/vnd.openxmlformats-officedocument.drawing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4.xml" ContentType="application/vnd.openxmlformats-officedocument.drawing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3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4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5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5.xml" ContentType="application/vnd.openxmlformats-officedocument.drawing+xml"/>
  <Override PartName="/xl/charts/chart26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S_1017_TransPhor\Durchführung\Daten\Leitfaden und Excel\"/>
    </mc:Choice>
  </mc:AlternateContent>
  <xr:revisionPtr revIDLastSave="0" documentId="13_ncr:1_{AE874EBC-3B8A-4569-9C0D-853A8AA1A80D}" xr6:coauthVersionLast="47" xr6:coauthVersionMax="47" xr10:uidLastSave="{00000000-0000-0000-0000-000000000000}"/>
  <bookViews>
    <workbookView xWindow="-120" yWindow="-120" windowWidth="29040" windowHeight="15840" autoFilterDateGrouping="0" xr2:uid="{00000000-000D-0000-FFFF-FFFF00000000}"/>
  </bookViews>
  <sheets>
    <sheet name="READ ME" sheetId="7" r:id="rId1"/>
    <sheet name="Input" sheetId="1" r:id="rId2"/>
    <sheet name="Randbedingungen" sheetId="8" r:id="rId3"/>
    <sheet name="Zusammenfassung" sheetId="3" r:id="rId4"/>
    <sheet name="Ergebnis" sheetId="9" r:id="rId5"/>
    <sheet name="Sensitivitätsanalyse" sheetId="10" r:id="rId6"/>
    <sheet name="Wirtschaftlichkeit (Neutral)" sheetId="4" r:id="rId7"/>
    <sheet name="Wirtschaftlichkeit (Positiv)" sheetId="6" r:id="rId8"/>
    <sheet name="Wirtschaftlichkeit (Negativ)" sheetId="5" r:id="rId9"/>
    <sheet name="Hilfsblatt" sheetId="11" state="hidden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3" i="1" l="1"/>
  <c r="C15" i="1"/>
  <c r="C14" i="1"/>
  <c r="D15" i="1"/>
  <c r="D14" i="1"/>
  <c r="L9" i="10" l="1"/>
  <c r="M9" i="10"/>
  <c r="N9" i="10"/>
  <c r="P9" i="10"/>
  <c r="Q9" i="10"/>
  <c r="R9" i="10"/>
  <c r="S9" i="10"/>
  <c r="U9" i="10"/>
  <c r="V9" i="10"/>
  <c r="W9" i="10"/>
  <c r="X9" i="10"/>
  <c r="Z9" i="10"/>
  <c r="AA9" i="10"/>
  <c r="AB9" i="10"/>
  <c r="AC9" i="10"/>
  <c r="AE9" i="10"/>
  <c r="AF9" i="10"/>
  <c r="AG9" i="10"/>
  <c r="AH9" i="10"/>
  <c r="AJ9" i="10"/>
  <c r="AK9" i="10"/>
  <c r="AL9" i="10"/>
  <c r="AM9" i="10"/>
  <c r="AN9" i="10"/>
  <c r="K9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Z7" i="10"/>
  <c r="AA7" i="10"/>
  <c r="AB7" i="10"/>
  <c r="AC7" i="10"/>
  <c r="AD7" i="10"/>
  <c r="AE7" i="10"/>
  <c r="AF7" i="10"/>
  <c r="AG7" i="10"/>
  <c r="AH7" i="10"/>
  <c r="AI7" i="10"/>
  <c r="AJ7" i="10"/>
  <c r="AK7" i="10"/>
  <c r="AL7" i="10"/>
  <c r="AM7" i="10"/>
  <c r="AN7" i="10"/>
  <c r="K7" i="10"/>
  <c r="F7" i="5"/>
  <c r="G7" i="5"/>
  <c r="H7" i="5"/>
  <c r="I7" i="5"/>
  <c r="J7" i="5"/>
  <c r="K7" i="5"/>
  <c r="L7" i="5"/>
  <c r="M7" i="5"/>
  <c r="N7" i="5"/>
  <c r="O7" i="5"/>
  <c r="P7" i="5"/>
  <c r="Q7" i="5"/>
  <c r="R7" i="5"/>
  <c r="T7" i="5"/>
  <c r="U7" i="5"/>
  <c r="V7" i="5"/>
  <c r="W7" i="5"/>
  <c r="X7" i="5"/>
  <c r="Y7" i="5"/>
  <c r="Z7" i="5"/>
  <c r="AA7" i="5"/>
  <c r="AB7" i="5"/>
  <c r="AC7" i="5"/>
  <c r="AD7" i="5"/>
  <c r="AE7" i="5"/>
  <c r="AF7" i="5"/>
  <c r="AG7" i="5"/>
  <c r="AH7" i="5"/>
  <c r="E7" i="5"/>
  <c r="F9" i="5"/>
  <c r="G9" i="5"/>
  <c r="H9" i="5"/>
  <c r="J9" i="5"/>
  <c r="K9" i="5"/>
  <c r="L9" i="5"/>
  <c r="M9" i="5"/>
  <c r="O9" i="5"/>
  <c r="P9" i="5"/>
  <c r="Q9" i="5"/>
  <c r="R9" i="5"/>
  <c r="T9" i="5"/>
  <c r="U9" i="5"/>
  <c r="V9" i="5"/>
  <c r="W9" i="5"/>
  <c r="Y9" i="5"/>
  <c r="Z9" i="5"/>
  <c r="AA9" i="5"/>
  <c r="AB9" i="5"/>
  <c r="AD9" i="5"/>
  <c r="AE9" i="5"/>
  <c r="AF9" i="5"/>
  <c r="AG9" i="5"/>
  <c r="AH9" i="5"/>
  <c r="E9" i="5"/>
  <c r="F7" i="6"/>
  <c r="G7" i="6"/>
  <c r="H7" i="6"/>
  <c r="I7" i="6"/>
  <c r="J7" i="6"/>
  <c r="K7" i="6"/>
  <c r="L7" i="6"/>
  <c r="M7" i="6"/>
  <c r="N7" i="6"/>
  <c r="O7" i="6"/>
  <c r="P7" i="6"/>
  <c r="Q7" i="6"/>
  <c r="R7" i="6"/>
  <c r="T7" i="6"/>
  <c r="U7" i="6"/>
  <c r="V7" i="6"/>
  <c r="W7" i="6"/>
  <c r="X7" i="6"/>
  <c r="Y7" i="6"/>
  <c r="Z7" i="6"/>
  <c r="AA7" i="6"/>
  <c r="AB7" i="6"/>
  <c r="AC7" i="6"/>
  <c r="AD7" i="6"/>
  <c r="AE7" i="6"/>
  <c r="AF7" i="6"/>
  <c r="AG7" i="6"/>
  <c r="AH7" i="6"/>
  <c r="E7" i="6"/>
  <c r="F9" i="6"/>
  <c r="G9" i="6"/>
  <c r="H9" i="6"/>
  <c r="J9" i="6"/>
  <c r="K9" i="6"/>
  <c r="L9" i="6"/>
  <c r="M9" i="6"/>
  <c r="O9" i="6"/>
  <c r="P9" i="6"/>
  <c r="Q9" i="6"/>
  <c r="R9" i="6"/>
  <c r="T9" i="6"/>
  <c r="U9" i="6"/>
  <c r="V9" i="6"/>
  <c r="W9" i="6"/>
  <c r="Y9" i="6"/>
  <c r="Z9" i="6"/>
  <c r="AA9" i="6"/>
  <c r="AB9" i="6"/>
  <c r="AD9" i="6"/>
  <c r="AE9" i="6"/>
  <c r="AF9" i="6"/>
  <c r="AG9" i="6"/>
  <c r="AH9" i="6"/>
  <c r="E9" i="6"/>
  <c r="F7" i="4"/>
  <c r="G7" i="4"/>
  <c r="H7" i="4"/>
  <c r="I7" i="4"/>
  <c r="J7" i="4"/>
  <c r="K7" i="4"/>
  <c r="L7" i="4"/>
  <c r="M7" i="4"/>
  <c r="N7" i="4"/>
  <c r="O7" i="4"/>
  <c r="P7" i="4"/>
  <c r="Q7" i="4"/>
  <c r="R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E7" i="4"/>
  <c r="F9" i="4"/>
  <c r="G9" i="4"/>
  <c r="H9" i="4"/>
  <c r="J9" i="4"/>
  <c r="K9" i="4"/>
  <c r="L9" i="4"/>
  <c r="M9" i="4"/>
  <c r="O9" i="4"/>
  <c r="P9" i="4"/>
  <c r="Q9" i="4"/>
  <c r="R9" i="4"/>
  <c r="T9" i="4"/>
  <c r="U9" i="4"/>
  <c r="V9" i="4"/>
  <c r="W9" i="4"/>
  <c r="Y9" i="4"/>
  <c r="Z9" i="4"/>
  <c r="AA9" i="4"/>
  <c r="AB9" i="4"/>
  <c r="AD9" i="4"/>
  <c r="AE9" i="4"/>
  <c r="AF9" i="4"/>
  <c r="AG9" i="4"/>
  <c r="AH9" i="4"/>
  <c r="E9" i="4"/>
  <c r="E9" i="8"/>
  <c r="C37" i="5"/>
  <c r="AC37" i="5" s="1"/>
  <c r="C37" i="6"/>
  <c r="AC37" i="6" s="1"/>
  <c r="O37" i="6" l="1"/>
  <c r="AD37" i="6"/>
  <c r="AE37" i="6"/>
  <c r="N37" i="6"/>
  <c r="N37" i="5"/>
  <c r="O37" i="5"/>
  <c r="P37" i="5"/>
  <c r="AD37" i="5"/>
  <c r="AE37" i="5"/>
  <c r="AF37" i="5"/>
  <c r="T37" i="5"/>
  <c r="Q37" i="5"/>
  <c r="R37" i="5"/>
  <c r="E37" i="5"/>
  <c r="U37" i="5"/>
  <c r="AH37" i="5"/>
  <c r="F37" i="5"/>
  <c r="V37" i="5"/>
  <c r="G37" i="5"/>
  <c r="W37" i="5"/>
  <c r="Y37" i="5"/>
  <c r="D37" i="5"/>
  <c r="X37" i="5"/>
  <c r="I37" i="5"/>
  <c r="K37" i="5"/>
  <c r="AA37" i="5"/>
  <c r="AG37" i="5"/>
  <c r="S37" i="5"/>
  <c r="L37" i="5"/>
  <c r="AB37" i="5"/>
  <c r="H37" i="5"/>
  <c r="J37" i="5"/>
  <c r="Z37" i="5"/>
  <c r="M37" i="5"/>
  <c r="AH37" i="6"/>
  <c r="P37" i="6"/>
  <c r="E37" i="6"/>
  <c r="U37" i="6"/>
  <c r="F37" i="6"/>
  <c r="V37" i="6"/>
  <c r="G37" i="6"/>
  <c r="W37" i="6"/>
  <c r="I37" i="6"/>
  <c r="Y37" i="6"/>
  <c r="S37" i="6"/>
  <c r="X37" i="6"/>
  <c r="Z37" i="6"/>
  <c r="Q37" i="6"/>
  <c r="R37" i="6"/>
  <c r="J37" i="6"/>
  <c r="K37" i="6"/>
  <c r="AA37" i="6"/>
  <c r="T37" i="6"/>
  <c r="H37" i="6"/>
  <c r="L37" i="6"/>
  <c r="AB37" i="6"/>
  <c r="AF37" i="6"/>
  <c r="AG37" i="6"/>
  <c r="D37" i="6"/>
  <c r="M37" i="6"/>
  <c r="I33" i="10" l="1"/>
  <c r="I32" i="10"/>
  <c r="I14" i="10"/>
  <c r="I15" i="10"/>
  <c r="I16" i="10"/>
  <c r="I17" i="10"/>
  <c r="I21" i="10"/>
  <c r="I25" i="10"/>
  <c r="I39" i="10"/>
  <c r="I48" i="10" s="1"/>
  <c r="I28" i="10"/>
  <c r="I27" i="10"/>
  <c r="AN5" i="10"/>
  <c r="AM5" i="10"/>
  <c r="AL5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X10" i="10" l="1"/>
  <c r="Q10" i="10"/>
  <c r="AN10" i="10"/>
  <c r="AG10" i="10"/>
  <c r="R10" i="10"/>
  <c r="S10" i="10"/>
  <c r="AK10" i="10"/>
  <c r="V10" i="10"/>
  <c r="K39" i="10"/>
  <c r="AA39" i="10"/>
  <c r="AB10" i="10"/>
  <c r="M10" i="10"/>
  <c r="N10" i="10"/>
  <c r="Z10" i="10"/>
  <c r="L10" i="10"/>
  <c r="AC10" i="10"/>
  <c r="AF10" i="10"/>
  <c r="AE10" i="10"/>
  <c r="P10" i="10"/>
  <c r="AH10" i="10"/>
  <c r="AA10" i="10"/>
  <c r="AJ10" i="10"/>
  <c r="W39" i="10"/>
  <c r="K10" i="10"/>
  <c r="AL10" i="10"/>
  <c r="AM39" i="10"/>
  <c r="U10" i="10"/>
  <c r="W10" i="10"/>
  <c r="X39" i="10"/>
  <c r="AN39" i="10"/>
  <c r="Y39" i="10"/>
  <c r="J39" i="10"/>
  <c r="Z39" i="10"/>
  <c r="L39" i="10"/>
  <c r="AB39" i="10"/>
  <c r="M39" i="10"/>
  <c r="AC39" i="10"/>
  <c r="N39" i="10"/>
  <c r="AD39" i="10"/>
  <c r="O39" i="10"/>
  <c r="AE39" i="10"/>
  <c r="P39" i="10"/>
  <c r="AF39" i="10"/>
  <c r="Q39" i="10"/>
  <c r="AG39" i="10"/>
  <c r="R39" i="10"/>
  <c r="AH39" i="10"/>
  <c r="S39" i="10"/>
  <c r="AI39" i="10"/>
  <c r="T39" i="10"/>
  <c r="AJ39" i="10"/>
  <c r="U39" i="10"/>
  <c r="AK39" i="10"/>
  <c r="V39" i="10"/>
  <c r="AL39" i="10"/>
  <c r="C46" i="5"/>
  <c r="C33" i="5"/>
  <c r="C32" i="5"/>
  <c r="C28" i="5"/>
  <c r="C27" i="5"/>
  <c r="C25" i="5"/>
  <c r="C21" i="5"/>
  <c r="C17" i="5"/>
  <c r="C16" i="5"/>
  <c r="C15" i="5"/>
  <c r="C14" i="5"/>
  <c r="AH5" i="5"/>
  <c r="AG5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C45" i="6"/>
  <c r="C33" i="6"/>
  <c r="C32" i="6"/>
  <c r="C28" i="6"/>
  <c r="C27" i="6"/>
  <c r="C25" i="6"/>
  <c r="C21" i="6"/>
  <c r="C17" i="6"/>
  <c r="C16" i="6"/>
  <c r="C15" i="6"/>
  <c r="C14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E5" i="4"/>
  <c r="C37" i="4"/>
  <c r="C25" i="4"/>
  <c r="C33" i="4"/>
  <c r="C32" i="4"/>
  <c r="C21" i="4"/>
  <c r="C15" i="4"/>
  <c r="C16" i="4"/>
  <c r="C17" i="4"/>
  <c r="C14" i="4"/>
  <c r="D24" i="3" l="1"/>
  <c r="R10" i="5"/>
  <c r="P10" i="6"/>
  <c r="F10" i="5"/>
  <c r="L10" i="6"/>
  <c r="V10" i="5"/>
  <c r="J10" i="6"/>
  <c r="E10" i="4"/>
  <c r="AF10" i="6"/>
  <c r="R10" i="6"/>
  <c r="W10" i="5"/>
  <c r="AE10" i="5"/>
  <c r="G10" i="5"/>
  <c r="Z10" i="5"/>
  <c r="O10" i="5"/>
  <c r="AE10" i="4"/>
  <c r="L10" i="5"/>
  <c r="AB10" i="5"/>
  <c r="AD10" i="5"/>
  <c r="E10" i="5"/>
  <c r="U10" i="5"/>
  <c r="H10" i="5"/>
  <c r="Y10" i="5"/>
  <c r="J10" i="5"/>
  <c r="K10" i="5"/>
  <c r="AA10" i="5"/>
  <c r="M10" i="5"/>
  <c r="P10" i="5"/>
  <c r="AF10" i="5"/>
  <c r="Q10" i="5"/>
  <c r="AH10" i="5"/>
  <c r="T10" i="5"/>
  <c r="F10" i="6"/>
  <c r="G10" i="6"/>
  <c r="W10" i="6"/>
  <c r="H10" i="6"/>
  <c r="Y10" i="6"/>
  <c r="O10" i="6"/>
  <c r="AE10" i="6"/>
  <c r="Q10" i="6"/>
  <c r="AH10" i="6"/>
  <c r="T10" i="6"/>
  <c r="E10" i="6"/>
  <c r="U10" i="6"/>
  <c r="V10" i="6"/>
  <c r="Z10" i="6"/>
  <c r="K10" i="6"/>
  <c r="AA10" i="6"/>
  <c r="AB10" i="6"/>
  <c r="M10" i="6"/>
  <c r="AD10" i="6"/>
  <c r="O10" i="4"/>
  <c r="G10" i="4"/>
  <c r="F10" i="4"/>
  <c r="AD10" i="4"/>
  <c r="AB10" i="4"/>
  <c r="AF10" i="4"/>
  <c r="AA10" i="4"/>
  <c r="AH10" i="4"/>
  <c r="T10" i="4"/>
  <c r="Y10" i="4"/>
  <c r="Z10" i="4"/>
  <c r="P10" i="4"/>
  <c r="U10" i="4"/>
  <c r="W10" i="4"/>
  <c r="V10" i="4"/>
  <c r="J10" i="4"/>
  <c r="H10" i="4"/>
  <c r="R10" i="4"/>
  <c r="L10" i="4"/>
  <c r="Q10" i="4"/>
  <c r="K10" i="4"/>
  <c r="M10" i="4"/>
  <c r="D9" i="3"/>
  <c r="D10" i="3"/>
  <c r="D11" i="3"/>
  <c r="D12" i="3"/>
  <c r="D15" i="3"/>
  <c r="D18" i="3"/>
  <c r="D23" i="3"/>
  <c r="F5" i="1" l="1"/>
  <c r="F4" i="1"/>
  <c r="E47" i="8"/>
  <c r="F121" i="1" s="1"/>
  <c r="X37" i="4"/>
  <c r="C28" i="4"/>
  <c r="C27" i="4"/>
  <c r="G89" i="1"/>
  <c r="G83" i="1"/>
  <c r="G73" i="1"/>
  <c r="G66" i="1"/>
  <c r="G131" i="1"/>
  <c r="G130" i="1"/>
  <c r="G129" i="1"/>
  <c r="G128" i="1"/>
  <c r="G127" i="1"/>
  <c r="G55" i="1"/>
  <c r="G117" i="1"/>
  <c r="G116" i="1"/>
  <c r="G115" i="1"/>
  <c r="G114" i="1"/>
  <c r="G113" i="1"/>
  <c r="G112" i="1"/>
  <c r="G111" i="1"/>
  <c r="G110" i="1"/>
  <c r="G109" i="1"/>
  <c r="G108" i="1"/>
  <c r="G32" i="1"/>
  <c r="G107" i="1"/>
  <c r="G106" i="1"/>
  <c r="G105" i="1"/>
  <c r="G102" i="1"/>
  <c r="E12" i="3" s="1"/>
  <c r="B37" i="11" s="1"/>
  <c r="G25" i="1"/>
  <c r="G101" i="1"/>
  <c r="E11" i="3" s="1"/>
  <c r="B36" i="11" s="1"/>
  <c r="G100" i="1"/>
  <c r="E10" i="3" s="1"/>
  <c r="B35" i="11" s="1"/>
  <c r="G99" i="1"/>
  <c r="E9" i="3" s="1"/>
  <c r="B34" i="11" s="1"/>
  <c r="F10" i="3" l="1"/>
  <c r="G10" i="3"/>
  <c r="J17" i="10"/>
  <c r="K17" i="10" s="1"/>
  <c r="L17" i="10" s="1"/>
  <c r="M17" i="10" s="1"/>
  <c r="N17" i="10" s="1"/>
  <c r="O17" i="10" s="1"/>
  <c r="P17" i="10" s="1"/>
  <c r="Q17" i="10" s="1"/>
  <c r="R17" i="10" s="1"/>
  <c r="S17" i="10" s="1"/>
  <c r="T17" i="10" s="1"/>
  <c r="U17" i="10" s="1"/>
  <c r="V17" i="10" s="1"/>
  <c r="W17" i="10" s="1"/>
  <c r="X17" i="10" s="1"/>
  <c r="Y17" i="10" s="1"/>
  <c r="Z17" i="10" s="1"/>
  <c r="AA17" i="10" s="1"/>
  <c r="AB17" i="10" s="1"/>
  <c r="AC17" i="10" s="1"/>
  <c r="AD17" i="10" s="1"/>
  <c r="AE17" i="10" s="1"/>
  <c r="AF17" i="10" s="1"/>
  <c r="AG17" i="10" s="1"/>
  <c r="AH17" i="10" s="1"/>
  <c r="AI17" i="10" s="1"/>
  <c r="AJ17" i="10" s="1"/>
  <c r="AK17" i="10" s="1"/>
  <c r="AL17" i="10" s="1"/>
  <c r="AM17" i="10" s="1"/>
  <c r="AN17" i="10" s="1"/>
  <c r="F12" i="3"/>
  <c r="G12" i="3"/>
  <c r="B22" i="9"/>
  <c r="F11" i="3"/>
  <c r="G11" i="3"/>
  <c r="J14" i="10" a="1"/>
  <c r="J14" i="10" s="1"/>
  <c r="K14" i="10" s="1"/>
  <c r="L14" i="10" s="1"/>
  <c r="M14" i="10" s="1"/>
  <c r="N14" i="10" s="1"/>
  <c r="O14" i="10" s="1"/>
  <c r="F9" i="3"/>
  <c r="B19" i="9"/>
  <c r="G9" i="3"/>
  <c r="J15" i="10" a="1"/>
  <c r="J15" i="10" s="1"/>
  <c r="K15" i="10" s="1"/>
  <c r="L15" i="10" s="1"/>
  <c r="M15" i="10" s="1"/>
  <c r="N15" i="10" s="1"/>
  <c r="O15" i="10" s="1"/>
  <c r="P15" i="10" s="1"/>
  <c r="Q15" i="10" s="1"/>
  <c r="R15" i="10" s="1"/>
  <c r="S15" i="10" s="1"/>
  <c r="T15" i="10" s="1"/>
  <c r="U15" i="10" s="1"/>
  <c r="V15" i="10" s="1"/>
  <c r="W15" i="10" s="1"/>
  <c r="X15" i="10" s="1"/>
  <c r="Y15" i="10" s="1"/>
  <c r="Z15" i="10" s="1"/>
  <c r="AA15" i="10" s="1"/>
  <c r="AB15" i="10" s="1"/>
  <c r="AC15" i="10" s="1"/>
  <c r="AD15" i="10" s="1"/>
  <c r="AE15" i="10" s="1"/>
  <c r="AF15" i="10" s="1"/>
  <c r="AG15" i="10" s="1"/>
  <c r="AH15" i="10" s="1"/>
  <c r="AI15" i="10" s="1"/>
  <c r="AJ15" i="10" s="1"/>
  <c r="AK15" i="10" s="1"/>
  <c r="AL15" i="10" s="1"/>
  <c r="AM15" i="10" s="1"/>
  <c r="AN15" i="10" s="1"/>
  <c r="B20" i="9"/>
  <c r="J16" i="10" a="1"/>
  <c r="J16" i="10" s="1"/>
  <c r="K16" i="10" s="1"/>
  <c r="L16" i="10" s="1"/>
  <c r="M16" i="10" s="1"/>
  <c r="N16" i="10" s="1"/>
  <c r="O16" i="10" s="1"/>
  <c r="P16" i="10" s="1"/>
  <c r="Q16" i="10" s="1"/>
  <c r="R16" i="10" s="1"/>
  <c r="S16" i="10" s="1"/>
  <c r="T16" i="10" s="1"/>
  <c r="U16" i="10" s="1"/>
  <c r="V16" i="10" s="1"/>
  <c r="W16" i="10" s="1"/>
  <c r="X16" i="10" s="1"/>
  <c r="Y16" i="10" s="1"/>
  <c r="Z16" i="10" s="1"/>
  <c r="AA16" i="10" s="1"/>
  <c r="AB16" i="10" s="1"/>
  <c r="AC16" i="10" s="1"/>
  <c r="AD16" i="10" s="1"/>
  <c r="AE16" i="10" s="1"/>
  <c r="AF16" i="10" s="1"/>
  <c r="AG16" i="10" s="1"/>
  <c r="AH16" i="10" s="1"/>
  <c r="AI16" i="10" s="1"/>
  <c r="AJ16" i="10" s="1"/>
  <c r="AK16" i="10" s="1"/>
  <c r="AL16" i="10" s="1"/>
  <c r="AM16" i="10" s="1"/>
  <c r="AN16" i="10" s="1"/>
  <c r="B21" i="9"/>
  <c r="E15" i="3"/>
  <c r="B38" i="11" s="1"/>
  <c r="E14" i="6"/>
  <c r="E14" i="5"/>
  <c r="E17" i="5"/>
  <c r="F17" i="5" s="1"/>
  <c r="G17" i="5" s="1"/>
  <c r="H17" i="5" s="1"/>
  <c r="I17" i="5" s="1"/>
  <c r="J17" i="5" s="1"/>
  <c r="K17" i="5" s="1"/>
  <c r="L17" i="5" s="1"/>
  <c r="M17" i="5" s="1"/>
  <c r="N17" i="5" s="1"/>
  <c r="O17" i="5" s="1"/>
  <c r="P17" i="5" s="1"/>
  <c r="Q17" i="5" s="1"/>
  <c r="R17" i="5" s="1"/>
  <c r="S17" i="5" s="1"/>
  <c r="T17" i="5" s="1"/>
  <c r="U17" i="5" s="1"/>
  <c r="V17" i="5" s="1"/>
  <c r="W17" i="5" s="1"/>
  <c r="X17" i="5" s="1"/>
  <c r="Y17" i="5" s="1"/>
  <c r="Z17" i="5" s="1"/>
  <c r="AA17" i="5" s="1"/>
  <c r="AB17" i="5" s="1"/>
  <c r="AC17" i="5" s="1"/>
  <c r="AD17" i="5" s="1"/>
  <c r="AE17" i="5" s="1"/>
  <c r="AF17" i="5" s="1"/>
  <c r="AG17" i="5" s="1"/>
  <c r="AH17" i="5" s="1"/>
  <c r="E17" i="6"/>
  <c r="F17" i="6" s="1"/>
  <c r="G17" i="6" s="1"/>
  <c r="H17" i="6" s="1"/>
  <c r="I17" i="6" s="1"/>
  <c r="J17" i="6" s="1"/>
  <c r="K17" i="6" s="1"/>
  <c r="L17" i="6" s="1"/>
  <c r="M17" i="6" s="1"/>
  <c r="N17" i="6" s="1"/>
  <c r="O17" i="6" s="1"/>
  <c r="P17" i="6" s="1"/>
  <c r="Q17" i="6" s="1"/>
  <c r="R17" i="6" s="1"/>
  <c r="S17" i="6" s="1"/>
  <c r="T17" i="6" s="1"/>
  <c r="U17" i="6" s="1"/>
  <c r="V17" i="6" s="1"/>
  <c r="W17" i="6" s="1"/>
  <c r="X17" i="6" s="1"/>
  <c r="Y17" i="6" s="1"/>
  <c r="Z17" i="6" s="1"/>
  <c r="AA17" i="6" s="1"/>
  <c r="AB17" i="6" s="1"/>
  <c r="AC17" i="6" s="1"/>
  <c r="AD17" i="6" s="1"/>
  <c r="AE17" i="6" s="1"/>
  <c r="AF17" i="6" s="1"/>
  <c r="AG17" i="6" s="1"/>
  <c r="AH17" i="6" s="1"/>
  <c r="E15" i="6"/>
  <c r="F15" i="6" s="1"/>
  <c r="G15" i="6" s="1"/>
  <c r="H15" i="6" s="1"/>
  <c r="I15" i="6" s="1"/>
  <c r="J15" i="6" s="1"/>
  <c r="K15" i="6" s="1"/>
  <c r="L15" i="6" s="1"/>
  <c r="M15" i="6" s="1"/>
  <c r="N15" i="6" s="1"/>
  <c r="O15" i="6" s="1"/>
  <c r="P15" i="6" s="1"/>
  <c r="Q15" i="6" s="1"/>
  <c r="R15" i="6" s="1"/>
  <c r="S15" i="6" s="1"/>
  <c r="T15" i="6" s="1"/>
  <c r="U15" i="6" s="1"/>
  <c r="V15" i="6" s="1"/>
  <c r="W15" i="6" s="1"/>
  <c r="X15" i="6" s="1"/>
  <c r="Y15" i="6" s="1"/>
  <c r="Z15" i="6" s="1"/>
  <c r="AA15" i="6" s="1"/>
  <c r="AB15" i="6" s="1"/>
  <c r="AC15" i="6" s="1"/>
  <c r="AD15" i="6" s="1"/>
  <c r="AE15" i="6" s="1"/>
  <c r="AF15" i="6" s="1"/>
  <c r="AG15" i="6" s="1"/>
  <c r="AH15" i="6" s="1"/>
  <c r="E15" i="5"/>
  <c r="F15" i="5" s="1"/>
  <c r="G15" i="5" s="1"/>
  <c r="H15" i="5" s="1"/>
  <c r="I15" i="5" s="1"/>
  <c r="J15" i="5" s="1"/>
  <c r="K15" i="5" s="1"/>
  <c r="L15" i="5" s="1"/>
  <c r="M15" i="5" s="1"/>
  <c r="N15" i="5" s="1"/>
  <c r="O15" i="5" s="1"/>
  <c r="P15" i="5" s="1"/>
  <c r="Q15" i="5" s="1"/>
  <c r="R15" i="5" s="1"/>
  <c r="S15" i="5" s="1"/>
  <c r="T15" i="5" s="1"/>
  <c r="U15" i="5" s="1"/>
  <c r="V15" i="5" s="1"/>
  <c r="W15" i="5" s="1"/>
  <c r="X15" i="5" s="1"/>
  <c r="Y15" i="5" s="1"/>
  <c r="Z15" i="5" s="1"/>
  <c r="AA15" i="5" s="1"/>
  <c r="AB15" i="5" s="1"/>
  <c r="AC15" i="5" s="1"/>
  <c r="AD15" i="5" s="1"/>
  <c r="AE15" i="5" s="1"/>
  <c r="AF15" i="5" s="1"/>
  <c r="AG15" i="5" s="1"/>
  <c r="AH15" i="5" s="1"/>
  <c r="E16" i="5"/>
  <c r="F16" i="5" s="1"/>
  <c r="G16" i="5" s="1"/>
  <c r="H16" i="5" s="1"/>
  <c r="I16" i="5" s="1"/>
  <c r="J16" i="5" s="1"/>
  <c r="K16" i="5" s="1"/>
  <c r="L16" i="5" s="1"/>
  <c r="M16" i="5" s="1"/>
  <c r="N16" i="5" s="1"/>
  <c r="O16" i="5" s="1"/>
  <c r="P16" i="5" s="1"/>
  <c r="Q16" i="5" s="1"/>
  <c r="R16" i="5" s="1"/>
  <c r="S16" i="5" s="1"/>
  <c r="T16" i="5" s="1"/>
  <c r="U16" i="5" s="1"/>
  <c r="V16" i="5" s="1"/>
  <c r="W16" i="5" s="1"/>
  <c r="X16" i="5" s="1"/>
  <c r="Y16" i="5" s="1"/>
  <c r="Z16" i="5" s="1"/>
  <c r="AA16" i="5" s="1"/>
  <c r="AB16" i="5" s="1"/>
  <c r="AC16" i="5" s="1"/>
  <c r="AD16" i="5" s="1"/>
  <c r="AE16" i="5" s="1"/>
  <c r="AF16" i="5" s="1"/>
  <c r="AG16" i="5" s="1"/>
  <c r="AH16" i="5" s="1"/>
  <c r="E16" i="6"/>
  <c r="F16" i="6" s="1"/>
  <c r="G16" i="6" s="1"/>
  <c r="H16" i="6" s="1"/>
  <c r="I16" i="6" s="1"/>
  <c r="J16" i="6" s="1"/>
  <c r="K16" i="6" s="1"/>
  <c r="L16" i="6" s="1"/>
  <c r="M16" i="6" s="1"/>
  <c r="N16" i="6" s="1"/>
  <c r="O16" i="6" s="1"/>
  <c r="P16" i="6" s="1"/>
  <c r="Q16" i="6" s="1"/>
  <c r="R16" i="6" s="1"/>
  <c r="S16" i="6" s="1"/>
  <c r="T16" i="6" s="1"/>
  <c r="U16" i="6" s="1"/>
  <c r="V16" i="6" s="1"/>
  <c r="W16" i="6" s="1"/>
  <c r="X16" i="6" s="1"/>
  <c r="Y16" i="6" s="1"/>
  <c r="Z16" i="6" s="1"/>
  <c r="AA16" i="6" s="1"/>
  <c r="AB16" i="6" s="1"/>
  <c r="AC16" i="6" s="1"/>
  <c r="AD16" i="6" s="1"/>
  <c r="AE16" i="6" s="1"/>
  <c r="AF16" i="6" s="1"/>
  <c r="AG16" i="6" s="1"/>
  <c r="AH16" i="6" s="1"/>
  <c r="E23" i="3"/>
  <c r="J32" i="10" s="1" a="1"/>
  <c r="J32" i="10" s="1"/>
  <c r="E24" i="3"/>
  <c r="J33" i="10" s="1"/>
  <c r="K33" i="10" s="1"/>
  <c r="L33" i="10" s="1"/>
  <c r="M33" i="10" s="1"/>
  <c r="N33" i="10" s="1"/>
  <c r="O33" i="10" s="1"/>
  <c r="P33" i="10" s="1"/>
  <c r="Q33" i="10" s="1"/>
  <c r="R33" i="10" s="1"/>
  <c r="S33" i="10" s="1"/>
  <c r="T33" i="10" s="1"/>
  <c r="U33" i="10" s="1"/>
  <c r="V33" i="10" s="1"/>
  <c r="W33" i="10" s="1"/>
  <c r="X33" i="10" s="1"/>
  <c r="Y33" i="10" s="1"/>
  <c r="Z33" i="10" s="1"/>
  <c r="AA33" i="10" s="1"/>
  <c r="AB33" i="10" s="1"/>
  <c r="AC33" i="10" s="1"/>
  <c r="AD33" i="10" s="1"/>
  <c r="AE33" i="10" s="1"/>
  <c r="AF33" i="10" s="1"/>
  <c r="AG33" i="10" s="1"/>
  <c r="AH33" i="10" s="1"/>
  <c r="AI33" i="10" s="1"/>
  <c r="AJ33" i="10" s="1"/>
  <c r="AK33" i="10" s="1"/>
  <c r="AL33" i="10" s="1"/>
  <c r="AM33" i="10" s="1"/>
  <c r="AN33" i="10" s="1"/>
  <c r="G122" i="1"/>
  <c r="I37" i="4"/>
  <c r="P37" i="4"/>
  <c r="G121" i="1"/>
  <c r="E18" i="3" s="1"/>
  <c r="Y37" i="4"/>
  <c r="J37" i="4"/>
  <c r="Z37" i="4"/>
  <c r="K37" i="4"/>
  <c r="AA37" i="4"/>
  <c r="L37" i="4"/>
  <c r="AB37" i="4"/>
  <c r="M37" i="4"/>
  <c r="AC37" i="4"/>
  <c r="N37" i="4"/>
  <c r="AD37" i="4"/>
  <c r="O37" i="4"/>
  <c r="AE37" i="4"/>
  <c r="AF37" i="4"/>
  <c r="Q37" i="4"/>
  <c r="AG37" i="4"/>
  <c r="R37" i="4"/>
  <c r="AH37" i="4"/>
  <c r="T37" i="4"/>
  <c r="C46" i="4"/>
  <c r="F37" i="4"/>
  <c r="V37" i="4"/>
  <c r="D37" i="4"/>
  <c r="E37" i="4"/>
  <c r="U37" i="4"/>
  <c r="G37" i="4"/>
  <c r="W37" i="4"/>
  <c r="S37" i="4"/>
  <c r="H37" i="4"/>
  <c r="G123" i="1"/>
  <c r="G91" i="1"/>
  <c r="P19" i="9" l="1"/>
  <c r="D34" i="11"/>
  <c r="I19" i="9"/>
  <c r="C34" i="11"/>
  <c r="P21" i="9"/>
  <c r="D36" i="11"/>
  <c r="I21" i="9"/>
  <c r="C36" i="11"/>
  <c r="P22" i="9"/>
  <c r="D37" i="11"/>
  <c r="J25" i="10" a="1"/>
  <c r="J25" i="10" s="1"/>
  <c r="K25" i="10" s="1"/>
  <c r="L25" i="10" s="1"/>
  <c r="B39" i="11"/>
  <c r="I22" i="9"/>
  <c r="C37" i="11"/>
  <c r="P20" i="9"/>
  <c r="D35" i="11"/>
  <c r="I20" i="9"/>
  <c r="C35" i="11"/>
  <c r="B23" i="9"/>
  <c r="F15" i="3"/>
  <c r="G15" i="3"/>
  <c r="N18" i="10"/>
  <c r="L18" i="10"/>
  <c r="K18" i="10"/>
  <c r="M18" i="10"/>
  <c r="J18" i="10"/>
  <c r="K32" i="10"/>
  <c r="K34" i="10" s="1"/>
  <c r="J34" i="10"/>
  <c r="E21" i="6"/>
  <c r="F21" i="6" s="1"/>
  <c r="J21" i="10" a="1"/>
  <c r="J21" i="10" s="1"/>
  <c r="P14" i="10"/>
  <c r="O18" i="10"/>
  <c r="E21" i="5"/>
  <c r="E22" i="5" s="1"/>
  <c r="E25" i="6"/>
  <c r="F25" i="6" s="1"/>
  <c r="E25" i="5"/>
  <c r="F25" i="5" s="1"/>
  <c r="E33" i="6"/>
  <c r="F33" i="6" s="1"/>
  <c r="G33" i="6" s="1"/>
  <c r="H33" i="6" s="1"/>
  <c r="I33" i="6" s="1"/>
  <c r="J33" i="6" s="1"/>
  <c r="K33" i="6" s="1"/>
  <c r="L33" i="6" s="1"/>
  <c r="M33" i="6" s="1"/>
  <c r="N33" i="6" s="1"/>
  <c r="O33" i="6" s="1"/>
  <c r="P33" i="6" s="1"/>
  <c r="Q33" i="6" s="1"/>
  <c r="R33" i="6" s="1"/>
  <c r="S33" i="6" s="1"/>
  <c r="T33" i="6" s="1"/>
  <c r="U33" i="6" s="1"/>
  <c r="V33" i="6" s="1"/>
  <c r="W33" i="6" s="1"/>
  <c r="X33" i="6" s="1"/>
  <c r="Y33" i="6" s="1"/>
  <c r="Z33" i="6" s="1"/>
  <c r="AA33" i="6" s="1"/>
  <c r="AB33" i="6" s="1"/>
  <c r="AC33" i="6" s="1"/>
  <c r="AD33" i="6" s="1"/>
  <c r="AE33" i="6" s="1"/>
  <c r="AF33" i="6" s="1"/>
  <c r="AG33" i="6" s="1"/>
  <c r="AH33" i="6" s="1"/>
  <c r="E33" i="5"/>
  <c r="F33" i="5" s="1"/>
  <c r="G33" i="5" s="1"/>
  <c r="H33" i="5" s="1"/>
  <c r="I33" i="5" s="1"/>
  <c r="J33" i="5" s="1"/>
  <c r="K33" i="5" s="1"/>
  <c r="L33" i="5" s="1"/>
  <c r="M33" i="5" s="1"/>
  <c r="N33" i="5" s="1"/>
  <c r="O33" i="5" s="1"/>
  <c r="P33" i="5" s="1"/>
  <c r="Q33" i="5" s="1"/>
  <c r="R33" i="5" s="1"/>
  <c r="S33" i="5" s="1"/>
  <c r="T33" i="5" s="1"/>
  <c r="U33" i="5" s="1"/>
  <c r="V33" i="5" s="1"/>
  <c r="W33" i="5" s="1"/>
  <c r="X33" i="5" s="1"/>
  <c r="Y33" i="5" s="1"/>
  <c r="Z33" i="5" s="1"/>
  <c r="AA33" i="5" s="1"/>
  <c r="AB33" i="5" s="1"/>
  <c r="AC33" i="5" s="1"/>
  <c r="AD33" i="5" s="1"/>
  <c r="AE33" i="5" s="1"/>
  <c r="AF33" i="5" s="1"/>
  <c r="AG33" i="5" s="1"/>
  <c r="AH33" i="5" s="1"/>
  <c r="F14" i="5"/>
  <c r="E18" i="5"/>
  <c r="E18" i="6"/>
  <c r="F14" i="6"/>
  <c r="E32" i="5"/>
  <c r="E32" i="6"/>
  <c r="E32" i="4"/>
  <c r="D17" i="4"/>
  <c r="D16" i="5"/>
  <c r="F24" i="3"/>
  <c r="D33" i="6" s="1"/>
  <c r="E16" i="3"/>
  <c r="B26" i="11" s="1"/>
  <c r="P23" i="9" l="1"/>
  <c r="D38" i="11"/>
  <c r="I23" i="9"/>
  <c r="C38" i="11"/>
  <c r="L32" i="10"/>
  <c r="L34" i="10" s="1"/>
  <c r="E22" i="6"/>
  <c r="K21" i="10"/>
  <c r="K22" i="10" s="1"/>
  <c r="J22" i="10"/>
  <c r="F21" i="5"/>
  <c r="F22" i="5" s="1"/>
  <c r="M25" i="10"/>
  <c r="Q14" i="10"/>
  <c r="P18" i="10"/>
  <c r="G14" i="6"/>
  <c r="F18" i="6"/>
  <c r="F18" i="5"/>
  <c r="G14" i="5"/>
  <c r="G25" i="5"/>
  <c r="G25" i="6"/>
  <c r="F32" i="6"/>
  <c r="E34" i="6"/>
  <c r="F32" i="5"/>
  <c r="E34" i="5"/>
  <c r="D22" i="4"/>
  <c r="F22" i="6"/>
  <c r="G21" i="6"/>
  <c r="E17" i="4"/>
  <c r="F17" i="4" s="1"/>
  <c r="G17" i="4" s="1"/>
  <c r="H17" i="4" s="1"/>
  <c r="I17" i="4" s="1"/>
  <c r="J17" i="4" s="1"/>
  <c r="K17" i="4" s="1"/>
  <c r="L17" i="4" s="1"/>
  <c r="M17" i="4" s="1"/>
  <c r="N17" i="4" s="1"/>
  <c r="O17" i="4" s="1"/>
  <c r="P17" i="4" s="1"/>
  <c r="Q17" i="4" s="1"/>
  <c r="R17" i="4" s="1"/>
  <c r="S17" i="4" s="1"/>
  <c r="T17" i="4" s="1"/>
  <c r="U17" i="4" s="1"/>
  <c r="V17" i="4" s="1"/>
  <c r="W17" i="4" s="1"/>
  <c r="X17" i="4" s="1"/>
  <c r="Y17" i="4" s="1"/>
  <c r="Z17" i="4" s="1"/>
  <c r="AA17" i="4" s="1"/>
  <c r="AB17" i="4" s="1"/>
  <c r="AC17" i="4" s="1"/>
  <c r="AD17" i="4" s="1"/>
  <c r="AE17" i="4" s="1"/>
  <c r="AF17" i="4" s="1"/>
  <c r="AG17" i="4" s="1"/>
  <c r="AH17" i="4" s="1"/>
  <c r="D17" i="6"/>
  <c r="E13" i="3"/>
  <c r="B10" i="9" s="1"/>
  <c r="D32" i="4"/>
  <c r="F23" i="3"/>
  <c r="G23" i="3"/>
  <c r="D32" i="5" s="1"/>
  <c r="F18" i="3"/>
  <c r="E16" i="4"/>
  <c r="F16" i="4" s="1"/>
  <c r="G16" i="4" s="1"/>
  <c r="H16" i="4" s="1"/>
  <c r="I16" i="4" s="1"/>
  <c r="J16" i="4" s="1"/>
  <c r="K16" i="4" s="1"/>
  <c r="L16" i="4" s="1"/>
  <c r="M16" i="4" s="1"/>
  <c r="N16" i="4" s="1"/>
  <c r="O16" i="4" s="1"/>
  <c r="P16" i="4" s="1"/>
  <c r="Q16" i="4" s="1"/>
  <c r="R16" i="4" s="1"/>
  <c r="S16" i="4" s="1"/>
  <c r="T16" i="4" s="1"/>
  <c r="U16" i="4" s="1"/>
  <c r="V16" i="4" s="1"/>
  <c r="W16" i="4" s="1"/>
  <c r="X16" i="4" s="1"/>
  <c r="Y16" i="4" s="1"/>
  <c r="Z16" i="4" s="1"/>
  <c r="AA16" i="4" s="1"/>
  <c r="AB16" i="4" s="1"/>
  <c r="AC16" i="4" s="1"/>
  <c r="AD16" i="4" s="1"/>
  <c r="AE16" i="4" s="1"/>
  <c r="AF16" i="4" s="1"/>
  <c r="AG16" i="4" s="1"/>
  <c r="AH16" i="4" s="1"/>
  <c r="D17" i="5"/>
  <c r="G18" i="3"/>
  <c r="D25" i="4"/>
  <c r="D16" i="4"/>
  <c r="E33" i="4"/>
  <c r="F33" i="4" s="1"/>
  <c r="G33" i="4" s="1"/>
  <c r="H33" i="4" s="1"/>
  <c r="I33" i="4" s="1"/>
  <c r="J33" i="4" s="1"/>
  <c r="K33" i="4" s="1"/>
  <c r="L33" i="4" s="1"/>
  <c r="M33" i="4" s="1"/>
  <c r="N33" i="4" s="1"/>
  <c r="O33" i="4" s="1"/>
  <c r="P33" i="4" s="1"/>
  <c r="Q33" i="4" s="1"/>
  <c r="R33" i="4" s="1"/>
  <c r="S33" i="4" s="1"/>
  <c r="T33" i="4" s="1"/>
  <c r="U33" i="4" s="1"/>
  <c r="V33" i="4" s="1"/>
  <c r="W33" i="4" s="1"/>
  <c r="X33" i="4" s="1"/>
  <c r="Y33" i="4" s="1"/>
  <c r="Z33" i="4" s="1"/>
  <c r="AA33" i="4" s="1"/>
  <c r="AB33" i="4" s="1"/>
  <c r="AC33" i="4" s="1"/>
  <c r="AD33" i="4" s="1"/>
  <c r="AE33" i="4" s="1"/>
  <c r="AF33" i="4" s="1"/>
  <c r="AG33" i="4" s="1"/>
  <c r="AH33" i="4" s="1"/>
  <c r="G24" i="3"/>
  <c r="D33" i="5" s="1"/>
  <c r="D15" i="4"/>
  <c r="D15" i="5"/>
  <c r="E25" i="4"/>
  <c r="F25" i="4" s="1"/>
  <c r="D15" i="6"/>
  <c r="E25" i="3"/>
  <c r="B28" i="11" s="1"/>
  <c r="D16" i="6"/>
  <c r="E15" i="4"/>
  <c r="F15" i="4" s="1"/>
  <c r="G15" i="4" s="1"/>
  <c r="H15" i="4" s="1"/>
  <c r="I15" i="4" s="1"/>
  <c r="J15" i="4" s="1"/>
  <c r="K15" i="4" s="1"/>
  <c r="L15" i="4" s="1"/>
  <c r="M15" i="4" s="1"/>
  <c r="N15" i="4" s="1"/>
  <c r="O15" i="4" s="1"/>
  <c r="P15" i="4" s="1"/>
  <c r="Q15" i="4" s="1"/>
  <c r="R15" i="4" s="1"/>
  <c r="S15" i="4" s="1"/>
  <c r="T15" i="4" s="1"/>
  <c r="U15" i="4" s="1"/>
  <c r="V15" i="4" s="1"/>
  <c r="W15" i="4" s="1"/>
  <c r="X15" i="4" s="1"/>
  <c r="Y15" i="4" s="1"/>
  <c r="Z15" i="4" s="1"/>
  <c r="AA15" i="4" s="1"/>
  <c r="AB15" i="4" s="1"/>
  <c r="AC15" i="4" s="1"/>
  <c r="AD15" i="4" s="1"/>
  <c r="AE15" i="4" s="1"/>
  <c r="AF15" i="4" s="1"/>
  <c r="AG15" i="4" s="1"/>
  <c r="AH15" i="4" s="1"/>
  <c r="D14" i="6"/>
  <c r="D21" i="4"/>
  <c r="D14" i="4"/>
  <c r="E21" i="4"/>
  <c r="F21" i="4" s="1"/>
  <c r="D21" i="6"/>
  <c r="D33" i="4"/>
  <c r="E14" i="4"/>
  <c r="F14" i="4" s="1"/>
  <c r="D21" i="5"/>
  <c r="F32" i="4"/>
  <c r="M32" i="10" l="1"/>
  <c r="D25" i="5"/>
  <c r="D39" i="11"/>
  <c r="D25" i="6"/>
  <c r="C39" i="11"/>
  <c r="B25" i="11"/>
  <c r="L21" i="10"/>
  <c r="G21" i="5"/>
  <c r="G22" i="5" s="1"/>
  <c r="M34" i="10"/>
  <c r="N32" i="10"/>
  <c r="M21" i="10"/>
  <c r="L22" i="10"/>
  <c r="N25" i="10"/>
  <c r="R14" i="10"/>
  <c r="Q18" i="10"/>
  <c r="B11" i="9"/>
  <c r="D18" i="4"/>
  <c r="H14" i="5"/>
  <c r="G18" i="5"/>
  <c r="D32" i="6"/>
  <c r="H25" i="6"/>
  <c r="D14" i="5"/>
  <c r="H14" i="6"/>
  <c r="G18" i="6"/>
  <c r="H25" i="5"/>
  <c r="F34" i="6"/>
  <c r="G32" i="6"/>
  <c r="F34" i="5"/>
  <c r="G32" i="5"/>
  <c r="H21" i="5"/>
  <c r="G22" i="6"/>
  <c r="H21" i="6"/>
  <c r="D34" i="4"/>
  <c r="G25" i="3"/>
  <c r="F28" i="11" s="1"/>
  <c r="F25" i="3"/>
  <c r="D28" i="11" s="1"/>
  <c r="E34" i="4"/>
  <c r="E22" i="4"/>
  <c r="F13" i="3"/>
  <c r="F16" i="3"/>
  <c r="G13" i="3"/>
  <c r="E18" i="4"/>
  <c r="G16" i="3"/>
  <c r="G14" i="4"/>
  <c r="F18" i="4"/>
  <c r="G21" i="4"/>
  <c r="F22" i="4"/>
  <c r="G25" i="4"/>
  <c r="F34" i="4"/>
  <c r="G32" i="4"/>
  <c r="I10" i="9" l="1"/>
  <c r="P10" i="9"/>
  <c r="F25" i="11"/>
  <c r="D22" i="6"/>
  <c r="D26" i="11"/>
  <c r="D25" i="11"/>
  <c r="D22" i="5"/>
  <c r="F26" i="11"/>
  <c r="N21" i="10"/>
  <c r="M22" i="10"/>
  <c r="O25" i="10"/>
  <c r="O32" i="10"/>
  <c r="N34" i="10"/>
  <c r="R18" i="10"/>
  <c r="S14" i="10"/>
  <c r="P11" i="9"/>
  <c r="I11" i="9"/>
  <c r="H18" i="5"/>
  <c r="I14" i="5"/>
  <c r="I25" i="6"/>
  <c r="D34" i="6"/>
  <c r="D18" i="6"/>
  <c r="I25" i="5"/>
  <c r="D34" i="5"/>
  <c r="D18" i="5"/>
  <c r="I14" i="6"/>
  <c r="H18" i="6"/>
  <c r="H32" i="6"/>
  <c r="G34" i="6"/>
  <c r="G34" i="5"/>
  <c r="H32" i="5"/>
  <c r="H22" i="6"/>
  <c r="I21" i="6"/>
  <c r="I21" i="5"/>
  <c r="H22" i="5"/>
  <c r="H32" i="4"/>
  <c r="G34" i="4"/>
  <c r="H21" i="4"/>
  <c r="G22" i="4"/>
  <c r="H25" i="4"/>
  <c r="G18" i="4"/>
  <c r="H14" i="4"/>
  <c r="P32" i="10" l="1"/>
  <c r="O34" i="10"/>
  <c r="P25" i="10"/>
  <c r="O21" i="10"/>
  <c r="N22" i="10"/>
  <c r="S18" i="10"/>
  <c r="T14" i="10"/>
  <c r="J14" i="6"/>
  <c r="I18" i="6"/>
  <c r="J25" i="5"/>
  <c r="J25" i="6"/>
  <c r="J14" i="5"/>
  <c r="I18" i="5"/>
  <c r="H34" i="5"/>
  <c r="I32" i="5"/>
  <c r="H34" i="6"/>
  <c r="I32" i="6"/>
  <c r="J21" i="5"/>
  <c r="I22" i="5"/>
  <c r="J21" i="6"/>
  <c r="I22" i="6"/>
  <c r="H34" i="4"/>
  <c r="I32" i="4"/>
  <c r="I25" i="4"/>
  <c r="H18" i="4"/>
  <c r="I14" i="4"/>
  <c r="H22" i="4"/>
  <c r="I21" i="4"/>
  <c r="P21" i="10" l="1"/>
  <c r="O22" i="10"/>
  <c r="Q25" i="10"/>
  <c r="P34" i="10"/>
  <c r="Q32" i="10"/>
  <c r="U14" i="10"/>
  <c r="T18" i="10"/>
  <c r="J18" i="5"/>
  <c r="K14" i="5"/>
  <c r="K25" i="6"/>
  <c r="K25" i="5"/>
  <c r="J18" i="6"/>
  <c r="K14" i="6"/>
  <c r="J32" i="5"/>
  <c r="I34" i="5"/>
  <c r="J32" i="6"/>
  <c r="I34" i="6"/>
  <c r="J22" i="6"/>
  <c r="K21" i="6"/>
  <c r="K21" i="5"/>
  <c r="J22" i="5"/>
  <c r="J25" i="4"/>
  <c r="I18" i="4"/>
  <c r="J14" i="4"/>
  <c r="I34" i="4"/>
  <c r="J32" i="4"/>
  <c r="I22" i="4"/>
  <c r="J21" i="4"/>
  <c r="R32" i="10" l="1"/>
  <c r="Q34" i="10"/>
  <c r="R25" i="10"/>
  <c r="Q21" i="10"/>
  <c r="P22" i="10"/>
  <c r="V14" i="10"/>
  <c r="U18" i="10"/>
  <c r="L14" i="6"/>
  <c r="K18" i="6"/>
  <c r="L25" i="6"/>
  <c r="L25" i="5"/>
  <c r="L14" i="5"/>
  <c r="K18" i="5"/>
  <c r="K32" i="6"/>
  <c r="J34" i="6"/>
  <c r="K32" i="5"/>
  <c r="J34" i="5"/>
  <c r="L21" i="5"/>
  <c r="K22" i="5"/>
  <c r="K22" i="6"/>
  <c r="L21" i="6"/>
  <c r="J22" i="4"/>
  <c r="K21" i="4"/>
  <c r="K14" i="4"/>
  <c r="J18" i="4"/>
  <c r="J34" i="4"/>
  <c r="K32" i="4"/>
  <c r="K25" i="4"/>
  <c r="S25" i="10" l="1"/>
  <c r="R21" i="10"/>
  <c r="Q22" i="10"/>
  <c r="S32" i="10"/>
  <c r="R34" i="10"/>
  <c r="W14" i="10"/>
  <c r="V18" i="10"/>
  <c r="L18" i="5"/>
  <c r="M14" i="5"/>
  <c r="M25" i="5"/>
  <c r="M25" i="6"/>
  <c r="M14" i="6"/>
  <c r="L18" i="6"/>
  <c r="K34" i="5"/>
  <c r="L32" i="5"/>
  <c r="L32" i="6"/>
  <c r="K34" i="6"/>
  <c r="M21" i="6"/>
  <c r="L22" i="6"/>
  <c r="M21" i="5"/>
  <c r="L22" i="5"/>
  <c r="K34" i="4"/>
  <c r="L32" i="4"/>
  <c r="L14" i="4"/>
  <c r="K18" i="4"/>
  <c r="L25" i="4"/>
  <c r="L21" i="4"/>
  <c r="K22" i="4"/>
  <c r="S34" i="10" l="1"/>
  <c r="T32" i="10"/>
  <c r="T25" i="10"/>
  <c r="S21" i="10"/>
  <c r="R22" i="10"/>
  <c r="X14" i="10"/>
  <c r="W18" i="10"/>
  <c r="N14" i="6"/>
  <c r="M18" i="6"/>
  <c r="N25" i="6"/>
  <c r="N25" i="5"/>
  <c r="N14" i="5"/>
  <c r="M18" i="5"/>
  <c r="L34" i="6"/>
  <c r="M32" i="6"/>
  <c r="L34" i="5"/>
  <c r="M32" i="5"/>
  <c r="N21" i="5"/>
  <c r="M22" i="5"/>
  <c r="M22" i="6"/>
  <c r="N21" i="6"/>
  <c r="M25" i="4"/>
  <c r="M21" i="4"/>
  <c r="L22" i="4"/>
  <c r="M14" i="4"/>
  <c r="L18" i="4"/>
  <c r="M32" i="4"/>
  <c r="L34" i="4"/>
  <c r="S22" i="10" l="1"/>
  <c r="T21" i="10"/>
  <c r="U25" i="10"/>
  <c r="T34" i="10"/>
  <c r="U32" i="10"/>
  <c r="Y14" i="10"/>
  <c r="X18" i="10"/>
  <c r="O25" i="6"/>
  <c r="O14" i="5"/>
  <c r="N18" i="5"/>
  <c r="O25" i="5"/>
  <c r="O14" i="6"/>
  <c r="N18" i="6"/>
  <c r="N32" i="5"/>
  <c r="M34" i="5"/>
  <c r="M34" i="6"/>
  <c r="N32" i="6"/>
  <c r="O21" i="6"/>
  <c r="N22" i="6"/>
  <c r="O21" i="5"/>
  <c r="N22" i="5"/>
  <c r="N14" i="4"/>
  <c r="M18" i="4"/>
  <c r="N21" i="4"/>
  <c r="M22" i="4"/>
  <c r="N32" i="4"/>
  <c r="M34" i="4"/>
  <c r="N25" i="4"/>
  <c r="U34" i="10" l="1"/>
  <c r="V32" i="10"/>
  <c r="V25" i="10"/>
  <c r="U21" i="10"/>
  <c r="T22" i="10"/>
  <c r="Z14" i="10"/>
  <c r="Y18" i="10"/>
  <c r="O18" i="5"/>
  <c r="P14" i="5"/>
  <c r="P14" i="6"/>
  <c r="O18" i="6"/>
  <c r="P25" i="5"/>
  <c r="P25" i="6"/>
  <c r="N34" i="6"/>
  <c r="O32" i="6"/>
  <c r="O32" i="5"/>
  <c r="N34" i="5"/>
  <c r="P21" i="5"/>
  <c r="O22" i="5"/>
  <c r="P21" i="6"/>
  <c r="O22" i="6"/>
  <c r="O21" i="4"/>
  <c r="N22" i="4"/>
  <c r="O25" i="4"/>
  <c r="N34" i="4"/>
  <c r="O32" i="4"/>
  <c r="O14" i="4"/>
  <c r="N18" i="4"/>
  <c r="U22" i="10" l="1"/>
  <c r="V21" i="10"/>
  <c r="W25" i="10"/>
  <c r="V34" i="10"/>
  <c r="W32" i="10"/>
  <c r="AA14" i="10"/>
  <c r="Z18" i="10"/>
  <c r="Q14" i="6"/>
  <c r="P18" i="6"/>
  <c r="Q25" i="6"/>
  <c r="P18" i="5"/>
  <c r="Q14" i="5"/>
  <c r="Q25" i="5"/>
  <c r="P32" i="5"/>
  <c r="O34" i="5"/>
  <c r="O34" i="6"/>
  <c r="P32" i="6"/>
  <c r="P22" i="6"/>
  <c r="Q21" i="6"/>
  <c r="P22" i="5"/>
  <c r="Q21" i="5"/>
  <c r="P25" i="4"/>
  <c r="P21" i="4"/>
  <c r="O22" i="4"/>
  <c r="P14" i="4"/>
  <c r="O18" i="4"/>
  <c r="O34" i="4"/>
  <c r="P32" i="4"/>
  <c r="W34" i="10" l="1"/>
  <c r="X32" i="10"/>
  <c r="X25" i="10"/>
  <c r="V22" i="10"/>
  <c r="W21" i="10"/>
  <c r="AB14" i="10"/>
  <c r="AA18" i="10"/>
  <c r="R25" i="6"/>
  <c r="R14" i="5"/>
  <c r="Q18" i="5"/>
  <c r="R25" i="5"/>
  <c r="R14" i="6"/>
  <c r="Q18" i="6"/>
  <c r="Q32" i="5"/>
  <c r="P34" i="5"/>
  <c r="Q32" i="6"/>
  <c r="P34" i="6"/>
  <c r="R21" i="5"/>
  <c r="Q22" i="5"/>
  <c r="R21" i="6"/>
  <c r="Q22" i="6"/>
  <c r="P34" i="4"/>
  <c r="Q32" i="4"/>
  <c r="Q25" i="4"/>
  <c r="Q14" i="4"/>
  <c r="P18" i="4"/>
  <c r="Q21" i="4"/>
  <c r="P22" i="4"/>
  <c r="Y32" i="10" l="1"/>
  <c r="X34" i="10"/>
  <c r="W22" i="10"/>
  <c r="X21" i="10"/>
  <c r="Y25" i="10"/>
  <c r="AC14" i="10"/>
  <c r="AB18" i="10"/>
  <c r="S25" i="5"/>
  <c r="S14" i="5"/>
  <c r="R18" i="5"/>
  <c r="S25" i="6"/>
  <c r="R18" i="6"/>
  <c r="S14" i="6"/>
  <c r="R32" i="6"/>
  <c r="Q34" i="6"/>
  <c r="Q34" i="5"/>
  <c r="R32" i="5"/>
  <c r="R22" i="6"/>
  <c r="S21" i="6"/>
  <c r="R22" i="5"/>
  <c r="S21" i="5"/>
  <c r="R25" i="4"/>
  <c r="Q34" i="4"/>
  <c r="R32" i="4"/>
  <c r="R21" i="4"/>
  <c r="Q22" i="4"/>
  <c r="R14" i="4"/>
  <c r="Q18" i="4"/>
  <c r="X22" i="10" l="1"/>
  <c r="Y21" i="10"/>
  <c r="Z25" i="10"/>
  <c r="Y34" i="10"/>
  <c r="Z32" i="10"/>
  <c r="AD14" i="10"/>
  <c r="AC18" i="10"/>
  <c r="T14" i="5"/>
  <c r="S18" i="5"/>
  <c r="S18" i="6"/>
  <c r="T14" i="6"/>
  <c r="T25" i="5"/>
  <c r="T25" i="6"/>
  <c r="R34" i="5"/>
  <c r="S32" i="5"/>
  <c r="R34" i="6"/>
  <c r="S32" i="6"/>
  <c r="S22" i="5"/>
  <c r="T21" i="5"/>
  <c r="T21" i="6"/>
  <c r="S22" i="6"/>
  <c r="S21" i="4"/>
  <c r="R22" i="4"/>
  <c r="S32" i="4"/>
  <c r="R34" i="4"/>
  <c r="S14" i="4"/>
  <c r="R18" i="4"/>
  <c r="S25" i="4"/>
  <c r="Z21" i="10" l="1"/>
  <c r="Y22" i="10"/>
  <c r="Z34" i="10"/>
  <c r="AA32" i="10"/>
  <c r="AA25" i="10"/>
  <c r="AE14" i="10"/>
  <c r="AD18" i="10"/>
  <c r="U25" i="6"/>
  <c r="U25" i="5"/>
  <c r="U14" i="6"/>
  <c r="T18" i="6"/>
  <c r="U14" i="5"/>
  <c r="T18" i="5"/>
  <c r="S34" i="6"/>
  <c r="T32" i="6"/>
  <c r="S34" i="5"/>
  <c r="T32" i="5"/>
  <c r="U21" i="6"/>
  <c r="T22" i="6"/>
  <c r="T22" i="5"/>
  <c r="U21" i="5"/>
  <c r="T14" i="4"/>
  <c r="S18" i="4"/>
  <c r="T25" i="4"/>
  <c r="T32" i="4"/>
  <c r="S34" i="4"/>
  <c r="T21" i="4"/>
  <c r="S22" i="4"/>
  <c r="AA34" i="10" l="1"/>
  <c r="AB32" i="10"/>
  <c r="AB25" i="10"/>
  <c r="AA21" i="10"/>
  <c r="Z22" i="10"/>
  <c r="AF14" i="10"/>
  <c r="AE18" i="10"/>
  <c r="U18" i="5"/>
  <c r="V14" i="5"/>
  <c r="U18" i="6"/>
  <c r="V14" i="6"/>
  <c r="V25" i="5"/>
  <c r="V25" i="6"/>
  <c r="T34" i="5"/>
  <c r="U32" i="5"/>
  <c r="U32" i="6"/>
  <c r="T34" i="6"/>
  <c r="V21" i="5"/>
  <c r="U22" i="5"/>
  <c r="V21" i="6"/>
  <c r="U22" i="6"/>
  <c r="U32" i="4"/>
  <c r="T34" i="4"/>
  <c r="U25" i="4"/>
  <c r="U14" i="4"/>
  <c r="T18" i="4"/>
  <c r="U21" i="4"/>
  <c r="T22" i="4"/>
  <c r="AC25" i="10" l="1"/>
  <c r="AA22" i="10"/>
  <c r="AB21" i="10"/>
  <c r="AC32" i="10"/>
  <c r="AB34" i="10"/>
  <c r="AG14" i="10"/>
  <c r="AF18" i="10"/>
  <c r="W25" i="5"/>
  <c r="W14" i="5"/>
  <c r="V18" i="5"/>
  <c r="W25" i="6"/>
  <c r="V18" i="6"/>
  <c r="W14" i="6"/>
  <c r="U34" i="5"/>
  <c r="V32" i="5"/>
  <c r="V32" i="6"/>
  <c r="U34" i="6"/>
  <c r="W21" i="5"/>
  <c r="V22" i="5"/>
  <c r="W21" i="6"/>
  <c r="V22" i="6"/>
  <c r="V21" i="4"/>
  <c r="U22" i="4"/>
  <c r="V14" i="4"/>
  <c r="U18" i="4"/>
  <c r="V25" i="4"/>
  <c r="U34" i="4"/>
  <c r="V32" i="4"/>
  <c r="AC21" i="10" l="1"/>
  <c r="AB22" i="10"/>
  <c r="AD25" i="10"/>
  <c r="AC34" i="10"/>
  <c r="AD32" i="10"/>
  <c r="AH14" i="10"/>
  <c r="AG18" i="10"/>
  <c r="W18" i="5"/>
  <c r="X14" i="5"/>
  <c r="X14" i="6"/>
  <c r="W18" i="6"/>
  <c r="X25" i="6"/>
  <c r="X25" i="5"/>
  <c r="W32" i="6"/>
  <c r="V34" i="6"/>
  <c r="V34" i="5"/>
  <c r="W32" i="5"/>
  <c r="W22" i="6"/>
  <c r="X21" i="6"/>
  <c r="X21" i="5"/>
  <c r="W22" i="5"/>
  <c r="V34" i="4"/>
  <c r="W32" i="4"/>
  <c r="W14" i="4"/>
  <c r="V18" i="4"/>
  <c r="W25" i="4"/>
  <c r="W21" i="4"/>
  <c r="V22" i="4"/>
  <c r="AE25" i="10" l="1"/>
  <c r="AC22" i="10"/>
  <c r="AD21" i="10"/>
  <c r="AE32" i="10"/>
  <c r="AD34" i="10"/>
  <c r="AH18" i="10"/>
  <c r="AI14" i="10"/>
  <c r="X18" i="5"/>
  <c r="Y14" i="5"/>
  <c r="Y25" i="5"/>
  <c r="Y25" i="6"/>
  <c r="Y14" i="6"/>
  <c r="X18" i="6"/>
  <c r="X32" i="6"/>
  <c r="W34" i="6"/>
  <c r="W34" i="5"/>
  <c r="X32" i="5"/>
  <c r="X22" i="5"/>
  <c r="Y21" i="5"/>
  <c r="X22" i="6"/>
  <c r="Y21" i="6"/>
  <c r="W18" i="4"/>
  <c r="X14" i="4"/>
  <c r="X21" i="4"/>
  <c r="W22" i="4"/>
  <c r="X25" i="4"/>
  <c r="X32" i="4"/>
  <c r="W34" i="4"/>
  <c r="AD22" i="10" l="1"/>
  <c r="AE21" i="10"/>
  <c r="AF32" i="10"/>
  <c r="AE34" i="10"/>
  <c r="AF25" i="10"/>
  <c r="AI18" i="10"/>
  <c r="AJ14" i="10"/>
  <c r="Z25" i="5"/>
  <c r="Z25" i="6"/>
  <c r="Z14" i="5"/>
  <c r="Y18" i="5"/>
  <c r="Y18" i="6"/>
  <c r="Z14" i="6"/>
  <c r="Y32" i="6"/>
  <c r="X34" i="6"/>
  <c r="X34" i="5"/>
  <c r="Y32" i="5"/>
  <c r="Z21" i="6"/>
  <c r="Y22" i="6"/>
  <c r="Z21" i="5"/>
  <c r="Y22" i="5"/>
  <c r="Y25" i="4"/>
  <c r="X18" i="4"/>
  <c r="Y14" i="4"/>
  <c r="Y32" i="4"/>
  <c r="X34" i="4"/>
  <c r="X22" i="4"/>
  <c r="Y21" i="4"/>
  <c r="AG25" i="10" l="1"/>
  <c r="AG32" i="10"/>
  <c r="AF34" i="10"/>
  <c r="AE22" i="10"/>
  <c r="AF21" i="10"/>
  <c r="AK14" i="10"/>
  <c r="AJ18" i="10"/>
  <c r="Z18" i="6"/>
  <c r="AA14" i="6"/>
  <c r="AA25" i="6"/>
  <c r="AA14" i="5"/>
  <c r="Z18" i="5"/>
  <c r="AA25" i="5"/>
  <c r="Y34" i="5"/>
  <c r="Z32" i="5"/>
  <c r="Z32" i="6"/>
  <c r="Y34" i="6"/>
  <c r="Z22" i="5"/>
  <c r="AA21" i="5"/>
  <c r="AA21" i="6"/>
  <c r="Z22" i="6"/>
  <c r="Y18" i="4"/>
  <c r="Z14" i="4"/>
  <c r="Y34" i="4"/>
  <c r="Z32" i="4"/>
  <c r="Y22" i="4"/>
  <c r="Z21" i="4"/>
  <c r="Z25" i="4"/>
  <c r="AG21" i="10" l="1"/>
  <c r="AF22" i="10"/>
  <c r="AH25" i="10"/>
  <c r="AG34" i="10"/>
  <c r="AH32" i="10"/>
  <c r="AL14" i="10"/>
  <c r="AK18" i="10"/>
  <c r="AB25" i="5"/>
  <c r="AB25" i="6"/>
  <c r="AB14" i="5"/>
  <c r="AA18" i="5"/>
  <c r="AB14" i="6"/>
  <c r="AA18" i="6"/>
  <c r="AA32" i="6"/>
  <c r="Z34" i="6"/>
  <c r="Z34" i="5"/>
  <c r="AA32" i="5"/>
  <c r="AA22" i="5"/>
  <c r="AB21" i="5"/>
  <c r="AA22" i="6"/>
  <c r="AB21" i="6"/>
  <c r="AA25" i="4"/>
  <c r="Z22" i="4"/>
  <c r="AA21" i="4"/>
  <c r="AA32" i="4"/>
  <c r="Z34" i="4"/>
  <c r="AA14" i="4"/>
  <c r="Z18" i="4"/>
  <c r="AI25" i="10" l="1"/>
  <c r="AH34" i="10"/>
  <c r="AI32" i="10"/>
  <c r="AH21" i="10"/>
  <c r="AG22" i="10"/>
  <c r="AM14" i="10"/>
  <c r="AL18" i="10"/>
  <c r="AC25" i="6"/>
  <c r="AC14" i="6"/>
  <c r="AB18" i="6"/>
  <c r="AC14" i="5"/>
  <c r="AB18" i="5"/>
  <c r="AC25" i="5"/>
  <c r="AA34" i="5"/>
  <c r="AB32" i="5"/>
  <c r="AB32" i="6"/>
  <c r="AA34" i="6"/>
  <c r="AC21" i="6"/>
  <c r="AB22" i="6"/>
  <c r="AB22" i="5"/>
  <c r="AC21" i="5"/>
  <c r="AB21" i="4"/>
  <c r="AA22" i="4"/>
  <c r="AB25" i="4"/>
  <c r="AB32" i="4"/>
  <c r="AA34" i="4"/>
  <c r="AB14" i="4"/>
  <c r="AA18" i="4"/>
  <c r="AI21" i="10" l="1"/>
  <c r="AH22" i="10"/>
  <c r="AJ25" i="10"/>
  <c r="AI34" i="10"/>
  <c r="AJ32" i="10"/>
  <c r="AN14" i="10"/>
  <c r="AN18" i="10" s="1"/>
  <c r="AM18" i="10"/>
  <c r="AD25" i="5"/>
  <c r="AD14" i="6"/>
  <c r="AC18" i="6"/>
  <c r="AD14" i="5"/>
  <c r="AC18" i="5"/>
  <c r="AD25" i="6"/>
  <c r="AC32" i="6"/>
  <c r="AB34" i="6"/>
  <c r="AC32" i="5"/>
  <c r="AB34" i="5"/>
  <c r="AD21" i="5"/>
  <c r="AC22" i="5"/>
  <c r="AD21" i="6"/>
  <c r="AC22" i="6"/>
  <c r="AC25" i="4"/>
  <c r="AC32" i="4"/>
  <c r="AB34" i="4"/>
  <c r="AC21" i="4"/>
  <c r="AB22" i="4"/>
  <c r="AC14" i="4"/>
  <c r="AB18" i="4"/>
  <c r="I56" i="10" l="1"/>
  <c r="J56" i="10" s="1"/>
  <c r="AK25" i="10"/>
  <c r="AK32" i="10"/>
  <c r="AJ34" i="10"/>
  <c r="AJ21" i="10"/>
  <c r="AI22" i="10"/>
  <c r="AE14" i="6"/>
  <c r="AD18" i="6"/>
  <c r="AE25" i="6"/>
  <c r="AD18" i="5"/>
  <c r="AE14" i="5"/>
  <c r="AE25" i="5"/>
  <c r="AD32" i="5"/>
  <c r="AC34" i="5"/>
  <c r="AC34" i="6"/>
  <c r="AD32" i="6"/>
  <c r="AE21" i="6"/>
  <c r="AD22" i="6"/>
  <c r="AE21" i="5"/>
  <c r="AD22" i="5"/>
  <c r="AD32" i="4"/>
  <c r="AC34" i="4"/>
  <c r="AD21" i="4"/>
  <c r="AC22" i="4"/>
  <c r="AD14" i="4"/>
  <c r="AC18" i="4"/>
  <c r="AD25" i="4"/>
  <c r="AL32" i="10" l="1"/>
  <c r="AK34" i="10"/>
  <c r="AJ22" i="10"/>
  <c r="AK21" i="10"/>
  <c r="AL25" i="10"/>
  <c r="AF25" i="6"/>
  <c r="AF25" i="5"/>
  <c r="AE18" i="5"/>
  <c r="AF14" i="5"/>
  <c r="AE18" i="6"/>
  <c r="AF14" i="6"/>
  <c r="AE32" i="6"/>
  <c r="AD34" i="6"/>
  <c r="AD34" i="5"/>
  <c r="AE32" i="5"/>
  <c r="AE22" i="5"/>
  <c r="AF21" i="5"/>
  <c r="AF21" i="6"/>
  <c r="AE22" i="6"/>
  <c r="AD34" i="4"/>
  <c r="AE32" i="4"/>
  <c r="AE25" i="4"/>
  <c r="AE21" i="4"/>
  <c r="AD22" i="4"/>
  <c r="AE14" i="4"/>
  <c r="AD18" i="4"/>
  <c r="AK22" i="10" l="1"/>
  <c r="AL21" i="10"/>
  <c r="AM25" i="10"/>
  <c r="AM32" i="10"/>
  <c r="AL34" i="10"/>
  <c r="AF18" i="5"/>
  <c r="AG14" i="5"/>
  <c r="AG14" i="6"/>
  <c r="AF18" i="6"/>
  <c r="AG25" i="6"/>
  <c r="AG25" i="5"/>
  <c r="AF32" i="5"/>
  <c r="AE34" i="5"/>
  <c r="AF32" i="6"/>
  <c r="AE34" i="6"/>
  <c r="AF22" i="5"/>
  <c r="AG21" i="5"/>
  <c r="AG21" i="6"/>
  <c r="AF22" i="6"/>
  <c r="AF21" i="4"/>
  <c r="AE22" i="4"/>
  <c r="AF25" i="4"/>
  <c r="AE34" i="4"/>
  <c r="AF32" i="4"/>
  <c r="AF14" i="4"/>
  <c r="AE18" i="4"/>
  <c r="AN25" i="10" l="1"/>
  <c r="AN32" i="10"/>
  <c r="AN34" i="10" s="1"/>
  <c r="AM34" i="10"/>
  <c r="AL22" i="10"/>
  <c r="AM21" i="10"/>
  <c r="AH25" i="5"/>
  <c r="AH14" i="6"/>
  <c r="AH18" i="6" s="1"/>
  <c r="AG18" i="6"/>
  <c r="AH14" i="5"/>
  <c r="AH18" i="5" s="1"/>
  <c r="AG18" i="5"/>
  <c r="AH25" i="6"/>
  <c r="AG32" i="6"/>
  <c r="AF34" i="6"/>
  <c r="AG32" i="5"/>
  <c r="AF34" i="5"/>
  <c r="AG22" i="6"/>
  <c r="AH21" i="6"/>
  <c r="AH22" i="6" s="1"/>
  <c r="AG22" i="5"/>
  <c r="AH21" i="5"/>
  <c r="AH22" i="5" s="1"/>
  <c r="AG14" i="4"/>
  <c r="AF18" i="4"/>
  <c r="AG32" i="4"/>
  <c r="AF34" i="4"/>
  <c r="AG25" i="4"/>
  <c r="AG21" i="4"/>
  <c r="AF22" i="4"/>
  <c r="AM22" i="10" l="1"/>
  <c r="AN21" i="10"/>
  <c r="AN22" i="10" s="1"/>
  <c r="I59" i="10"/>
  <c r="C54" i="5"/>
  <c r="C53" i="6"/>
  <c r="AG34" i="5"/>
  <c r="AH32" i="5"/>
  <c r="AH34" i="5" s="1"/>
  <c r="C57" i="5"/>
  <c r="AG34" i="6"/>
  <c r="AH32" i="6"/>
  <c r="AH34" i="6" s="1"/>
  <c r="C55" i="5"/>
  <c r="S7" i="9" s="1"/>
  <c r="C54" i="6"/>
  <c r="L7" i="9" s="1"/>
  <c r="AH25" i="4"/>
  <c r="AH32" i="4"/>
  <c r="AH34" i="4" s="1"/>
  <c r="AG34" i="4"/>
  <c r="AH14" i="4"/>
  <c r="AH18" i="4" s="1"/>
  <c r="AG18" i="4"/>
  <c r="AH21" i="4"/>
  <c r="AH22" i="4" s="1"/>
  <c r="AG22" i="4"/>
  <c r="D54" i="5" l="1"/>
  <c r="T6" i="9" s="1"/>
  <c r="S6" i="9"/>
  <c r="D53" i="6"/>
  <c r="M6" i="9" s="1"/>
  <c r="L6" i="9"/>
  <c r="D57" i="5"/>
  <c r="T9" i="9" s="1"/>
  <c r="S9" i="9"/>
  <c r="I57" i="10"/>
  <c r="J57" i="10" s="1"/>
  <c r="J59" i="10"/>
  <c r="C56" i="6"/>
  <c r="C55" i="4"/>
  <c r="E7" i="9" s="1"/>
  <c r="C54" i="4"/>
  <c r="E6" i="9" s="1"/>
  <c r="D54" i="6"/>
  <c r="M7" i="9" s="1"/>
  <c r="D55" i="5"/>
  <c r="C57" i="4"/>
  <c r="T7" i="9" l="1"/>
  <c r="D56" i="6"/>
  <c r="M9" i="9" s="1"/>
  <c r="L9" i="9"/>
  <c r="D55" i="4"/>
  <c r="F7" i="9" s="1"/>
  <c r="D54" i="4"/>
  <c r="F6" i="9" s="1"/>
  <c r="D57" i="4"/>
  <c r="E9" i="9"/>
  <c r="F9" i="9" l="1"/>
  <c r="D6" i="3" l="1"/>
  <c r="D20" i="3"/>
  <c r="E20" i="3" s="1"/>
  <c r="B41" i="11" s="1"/>
  <c r="D5" i="3"/>
  <c r="E5" i="3" s="1"/>
  <c r="D4" i="3"/>
  <c r="E4" i="3" s="1"/>
  <c r="F4" i="3" s="1"/>
  <c r="D19" i="3"/>
  <c r="E19" i="3" s="1"/>
  <c r="B40" i="11" s="1"/>
  <c r="E6" i="3" l="1"/>
  <c r="J27" i="10"/>
  <c r="G19" i="3"/>
  <c r="D40" i="11" s="1"/>
  <c r="F19" i="3"/>
  <c r="C40" i="11" s="1"/>
  <c r="E21" i="3"/>
  <c r="D27" i="4"/>
  <c r="I5" i="10" a="1"/>
  <c r="I5" i="10" s="1"/>
  <c r="J5" i="10" s="1"/>
  <c r="E28" i="3"/>
  <c r="G4" i="3"/>
  <c r="C5" i="4"/>
  <c r="D5" i="4" s="1"/>
  <c r="G5" i="3"/>
  <c r="E29" i="3"/>
  <c r="F5" i="3"/>
  <c r="I7" i="10" a="1"/>
  <c r="I7" i="10" s="1"/>
  <c r="J7" i="10" s="1"/>
  <c r="C7" i="4"/>
  <c r="D7" i="4" s="1"/>
  <c r="J28" i="10"/>
  <c r="D28" i="4"/>
  <c r="G20" i="3"/>
  <c r="F20" i="3"/>
  <c r="D28" i="6" l="1"/>
  <c r="C41" i="11"/>
  <c r="D28" i="5"/>
  <c r="D41" i="11"/>
  <c r="S7" i="4"/>
  <c r="Y7" i="10"/>
  <c r="C7" i="6"/>
  <c r="D7" i="6" s="1"/>
  <c r="F29" i="3"/>
  <c r="G6" i="3"/>
  <c r="G7" i="3" s="1"/>
  <c r="C9" i="4"/>
  <c r="D9" i="4" s="1"/>
  <c r="E30" i="3"/>
  <c r="B29" i="11" s="1"/>
  <c r="F6" i="3"/>
  <c r="I9" i="10" a="1"/>
  <c r="I9" i="10" s="1"/>
  <c r="J9" i="10" s="1"/>
  <c r="G29" i="3"/>
  <c r="C7" i="5"/>
  <c r="D7" i="5" s="1"/>
  <c r="E7" i="3"/>
  <c r="G28" i="3"/>
  <c r="C5" i="5"/>
  <c r="D5" i="5" s="1"/>
  <c r="C5" i="6"/>
  <c r="D5" i="6" s="1"/>
  <c r="F28" i="3"/>
  <c r="B27" i="11"/>
  <c r="D29" i="4"/>
  <c r="D27" i="6"/>
  <c r="F21" i="3"/>
  <c r="D27" i="5"/>
  <c r="G21" i="3"/>
  <c r="J29" i="10"/>
  <c r="D10" i="4" l="1"/>
  <c r="S9" i="4"/>
  <c r="S10" i="4" s="1"/>
  <c r="AC9" i="4"/>
  <c r="AC10" i="4" s="1"/>
  <c r="I9" i="4"/>
  <c r="I10" i="4" s="1"/>
  <c r="O9" i="10"/>
  <c r="O10" i="10" s="1"/>
  <c r="AI9" i="10"/>
  <c r="AI10" i="10" s="1"/>
  <c r="Y9" i="10"/>
  <c r="Y10" i="10" s="1"/>
  <c r="P14" i="9"/>
  <c r="P6" i="9"/>
  <c r="B14" i="9"/>
  <c r="B6" i="9"/>
  <c r="B42" i="11"/>
  <c r="AD9" i="10"/>
  <c r="T9" i="10"/>
  <c r="S7" i="6"/>
  <c r="S7" i="5"/>
  <c r="X9" i="4"/>
  <c r="X10" i="4" s="1"/>
  <c r="N9" i="4"/>
  <c r="N10" i="4" s="1"/>
  <c r="C29" i="10"/>
  <c r="D38" i="4"/>
  <c r="D39" i="4" s="1"/>
  <c r="D40" i="4" s="1"/>
  <c r="P7" i="9"/>
  <c r="D29" i="5"/>
  <c r="F27" i="11"/>
  <c r="D27" i="11"/>
  <c r="D29" i="6"/>
  <c r="F30" i="3"/>
  <c r="D29" i="11" s="1"/>
  <c r="C9" i="6"/>
  <c r="D9" i="6" s="1"/>
  <c r="AH27" i="10"/>
  <c r="AM27" i="10"/>
  <c r="AA28" i="10"/>
  <c r="T28" i="6"/>
  <c r="M27" i="6"/>
  <c r="P27" i="6"/>
  <c r="O28" i="5"/>
  <c r="L27" i="5"/>
  <c r="AD27" i="5"/>
  <c r="P27" i="5"/>
  <c r="AA28" i="4"/>
  <c r="AF28" i="4"/>
  <c r="L28" i="4"/>
  <c r="V28" i="4"/>
  <c r="AJ28" i="10"/>
  <c r="AE28" i="4"/>
  <c r="AJ27" i="10"/>
  <c r="AL28" i="10"/>
  <c r="P28" i="10"/>
  <c r="AD27" i="10"/>
  <c r="Y28" i="6"/>
  <c r="AD28" i="6"/>
  <c r="P28" i="6"/>
  <c r="Q28" i="5"/>
  <c r="X28" i="6"/>
  <c r="W28" i="6"/>
  <c r="S28" i="6"/>
  <c r="J28" i="4"/>
  <c r="F27" i="4"/>
  <c r="O28" i="4"/>
  <c r="W28" i="4"/>
  <c r="R28" i="10"/>
  <c r="H27" i="5"/>
  <c r="L28" i="10"/>
  <c r="Y28" i="10"/>
  <c r="S27" i="10"/>
  <c r="AI28" i="10"/>
  <c r="AH27" i="6"/>
  <c r="AD27" i="6"/>
  <c r="AG27" i="5"/>
  <c r="AG28" i="5"/>
  <c r="X27" i="6"/>
  <c r="F27" i="6"/>
  <c r="F28" i="6"/>
  <c r="Y27" i="6"/>
  <c r="H28" i="4"/>
  <c r="V27" i="4"/>
  <c r="E28" i="4"/>
  <c r="L27" i="4"/>
  <c r="K27" i="10"/>
  <c r="V27" i="6"/>
  <c r="M28" i="4"/>
  <c r="O27" i="10"/>
  <c r="M27" i="10"/>
  <c r="X28" i="10"/>
  <c r="AN28" i="10"/>
  <c r="R27" i="6"/>
  <c r="U27" i="5"/>
  <c r="U28" i="5"/>
  <c r="V27" i="5"/>
  <c r="AA28" i="6"/>
  <c r="G27" i="5"/>
  <c r="AB27" i="6"/>
  <c r="S28" i="5"/>
  <c r="AG28" i="4"/>
  <c r="AB28" i="4"/>
  <c r="J27" i="4"/>
  <c r="X27" i="10"/>
  <c r="V27" i="10"/>
  <c r="Z27" i="10"/>
  <c r="AK28" i="10"/>
  <c r="N28" i="10"/>
  <c r="B7" i="9"/>
  <c r="T28" i="5"/>
  <c r="AC27" i="5"/>
  <c r="Z27" i="6"/>
  <c r="AA27" i="5"/>
  <c r="Q27" i="6"/>
  <c r="W27" i="6"/>
  <c r="W28" i="5"/>
  <c r="Z28" i="5"/>
  <c r="T27" i="4"/>
  <c r="N27" i="4"/>
  <c r="U28" i="4"/>
  <c r="AE28" i="6"/>
  <c r="AB28" i="10"/>
  <c r="AC27" i="10"/>
  <c r="U27" i="10"/>
  <c r="Q27" i="10"/>
  <c r="R28" i="5"/>
  <c r="AF28" i="5"/>
  <c r="AC27" i="6"/>
  <c r="AE27" i="5"/>
  <c r="Q28" i="6"/>
  <c r="AE27" i="6"/>
  <c r="J27" i="5"/>
  <c r="AF27" i="5"/>
  <c r="X28" i="4"/>
  <c r="W27" i="4"/>
  <c r="R27" i="4"/>
  <c r="K28" i="5"/>
  <c r="O27" i="4"/>
  <c r="H28" i="5"/>
  <c r="AE27" i="10"/>
  <c r="AH28" i="10"/>
  <c r="W28" i="10"/>
  <c r="T27" i="10"/>
  <c r="AH27" i="5"/>
  <c r="U27" i="6"/>
  <c r="O27" i="6"/>
  <c r="Q27" i="5"/>
  <c r="V28" i="5"/>
  <c r="W27" i="5"/>
  <c r="N28" i="5"/>
  <c r="T27" i="6"/>
  <c r="AC28" i="4"/>
  <c r="AD27" i="4"/>
  <c r="M27" i="4"/>
  <c r="P28" i="5"/>
  <c r="U27" i="4"/>
  <c r="I27" i="5"/>
  <c r="Y28" i="4"/>
  <c r="Q28" i="10"/>
  <c r="Z28" i="10"/>
  <c r="AA27" i="10"/>
  <c r="AK27" i="10"/>
  <c r="T27" i="5"/>
  <c r="E28" i="6"/>
  <c r="V28" i="6"/>
  <c r="H27" i="6"/>
  <c r="I28" i="5"/>
  <c r="L28" i="5"/>
  <c r="G27" i="6"/>
  <c r="I28" i="6"/>
  <c r="S27" i="4"/>
  <c r="T28" i="4"/>
  <c r="AH28" i="4"/>
  <c r="AH27" i="4"/>
  <c r="AE28" i="10"/>
  <c r="AL27" i="10"/>
  <c r="M28" i="10"/>
  <c r="AF28" i="10"/>
  <c r="AN27" i="10"/>
  <c r="AH28" i="6"/>
  <c r="N28" i="6"/>
  <c r="L28" i="6"/>
  <c r="K28" i="6"/>
  <c r="AA28" i="5"/>
  <c r="N27" i="5"/>
  <c r="Z27" i="5"/>
  <c r="N27" i="6"/>
  <c r="K27" i="4"/>
  <c r="N28" i="4"/>
  <c r="I27" i="4"/>
  <c r="G28" i="4"/>
  <c r="U28" i="10"/>
  <c r="O28" i="10"/>
  <c r="P27" i="10"/>
  <c r="AI27" i="10"/>
  <c r="AD28" i="10"/>
  <c r="R27" i="5"/>
  <c r="AG28" i="6"/>
  <c r="F27" i="5"/>
  <c r="AC28" i="6"/>
  <c r="AE28" i="5"/>
  <c r="G28" i="6"/>
  <c r="AD28" i="5"/>
  <c r="P27" i="4"/>
  <c r="S28" i="4"/>
  <c r="Y27" i="4"/>
  <c r="AC27" i="4"/>
  <c r="T28" i="10"/>
  <c r="R27" i="10"/>
  <c r="AB27" i="10"/>
  <c r="AM28" i="10"/>
  <c r="AG27" i="10"/>
  <c r="R28" i="6"/>
  <c r="AG27" i="6"/>
  <c r="K27" i="5"/>
  <c r="AF27" i="6"/>
  <c r="H28" i="6"/>
  <c r="AB28" i="6"/>
  <c r="S27" i="6"/>
  <c r="AF27" i="4"/>
  <c r="AF29" i="4" s="1"/>
  <c r="AF38" i="4" s="1"/>
  <c r="AF39" i="4" s="1"/>
  <c r="AD28" i="4"/>
  <c r="I28" i="4"/>
  <c r="Z27" i="4"/>
  <c r="Y28" i="5"/>
  <c r="AG27" i="4"/>
  <c r="AB27" i="5"/>
  <c r="L27" i="10"/>
  <c r="L29" i="10" s="1"/>
  <c r="L40" i="10" s="1"/>
  <c r="L41" i="10" s="1"/>
  <c r="W27" i="10"/>
  <c r="K28" i="10"/>
  <c r="AG28" i="10"/>
  <c r="E27" i="5"/>
  <c r="E28" i="5"/>
  <c r="O27" i="5"/>
  <c r="K27" i="6"/>
  <c r="U28" i="6"/>
  <c r="L27" i="6"/>
  <c r="I27" i="6"/>
  <c r="P28" i="4"/>
  <c r="G27" i="4"/>
  <c r="G29" i="4" s="1"/>
  <c r="G38" i="4" s="1"/>
  <c r="G39" i="4" s="1"/>
  <c r="E27" i="4"/>
  <c r="R28" i="4"/>
  <c r="J28" i="6"/>
  <c r="J28" i="5"/>
  <c r="AH28" i="5"/>
  <c r="V28" i="10"/>
  <c r="AC28" i="10"/>
  <c r="N27" i="10"/>
  <c r="X27" i="5"/>
  <c r="X28" i="5"/>
  <c r="AA27" i="6"/>
  <c r="F28" i="5"/>
  <c r="J27" i="6"/>
  <c r="O28" i="6"/>
  <c r="Z28" i="6"/>
  <c r="Q27" i="4"/>
  <c r="X27" i="4"/>
  <c r="AB27" i="4"/>
  <c r="Z28" i="4"/>
  <c r="E27" i="6"/>
  <c r="AB28" i="5"/>
  <c r="K28" i="4"/>
  <c r="AC28" i="5"/>
  <c r="Y27" i="10"/>
  <c r="Y29" i="10" s="1"/>
  <c r="AF27" i="10"/>
  <c r="S28" i="10"/>
  <c r="M27" i="5"/>
  <c r="M28" i="5"/>
  <c r="M28" i="6"/>
  <c r="Y27" i="5"/>
  <c r="AF28" i="6"/>
  <c r="G28" i="5"/>
  <c r="S27" i="5"/>
  <c r="AA27" i="4"/>
  <c r="H27" i="4"/>
  <c r="AE27" i="4"/>
  <c r="F28" i="4"/>
  <c r="Q28" i="4"/>
  <c r="AD10" i="10"/>
  <c r="T10" i="10"/>
  <c r="G30" i="3"/>
  <c r="F29" i="11" s="1"/>
  <c r="C9" i="5"/>
  <c r="D9" i="5" s="1"/>
  <c r="E13" i="9"/>
  <c r="J10" i="10"/>
  <c r="J40" i="10" s="1"/>
  <c r="J41" i="10" s="1"/>
  <c r="J42" i="10" s="1"/>
  <c r="B18" i="11"/>
  <c r="F7" i="3"/>
  <c r="AC9" i="6" l="1"/>
  <c r="AC10" i="6" s="1"/>
  <c r="S9" i="6"/>
  <c r="S10" i="6" s="1"/>
  <c r="I9" i="6"/>
  <c r="I10" i="6" s="1"/>
  <c r="I9" i="5"/>
  <c r="I10" i="5" s="1"/>
  <c r="AC9" i="5"/>
  <c r="AC10" i="5" s="1"/>
  <c r="S9" i="5"/>
  <c r="S10" i="5" s="1"/>
  <c r="Y40" i="10"/>
  <c r="Y41" i="10" s="1"/>
  <c r="N29" i="10"/>
  <c r="N40" i="10" s="1"/>
  <c r="N41" i="10" s="1"/>
  <c r="Y29" i="4"/>
  <c r="Y38" i="4" s="1"/>
  <c r="Y39" i="4" s="1"/>
  <c r="C42" i="11"/>
  <c r="I14" i="9"/>
  <c r="I6" i="9"/>
  <c r="D42" i="11"/>
  <c r="AE29" i="4"/>
  <c r="AE38" i="4" s="1"/>
  <c r="AE39" i="4" s="1"/>
  <c r="R29" i="10"/>
  <c r="R40" i="10" s="1"/>
  <c r="R41" i="10" s="1"/>
  <c r="S29" i="5"/>
  <c r="E29" i="4"/>
  <c r="W29" i="4"/>
  <c r="W38" i="4" s="1"/>
  <c r="W39" i="4" s="1"/>
  <c r="N9" i="5"/>
  <c r="N10" i="5" s="1"/>
  <c r="X9" i="5"/>
  <c r="X10" i="5" s="1"/>
  <c r="J29" i="4"/>
  <c r="J38" i="4" s="1"/>
  <c r="J39" i="4" s="1"/>
  <c r="L29" i="4"/>
  <c r="L38" i="4" s="1"/>
  <c r="L39" i="4" s="1"/>
  <c r="X9" i="6"/>
  <c r="X10" i="6" s="1"/>
  <c r="N9" i="6"/>
  <c r="N10" i="6" s="1"/>
  <c r="H29" i="4"/>
  <c r="H38" i="4" s="1"/>
  <c r="H39" i="4" s="1"/>
  <c r="V29" i="4"/>
  <c r="V38" i="4" s="1"/>
  <c r="V39" i="4" s="1"/>
  <c r="W29" i="5"/>
  <c r="W38" i="5" s="1"/>
  <c r="W39" i="5" s="1"/>
  <c r="AF29" i="10"/>
  <c r="AF40" i="10" s="1"/>
  <c r="AF41" i="10" s="1"/>
  <c r="N29" i="5"/>
  <c r="Z29" i="10"/>
  <c r="Z40" i="10" s="1"/>
  <c r="Z41" i="10" s="1"/>
  <c r="S13" i="9"/>
  <c r="AB29" i="4"/>
  <c r="AB38" i="4" s="1"/>
  <c r="AB39" i="4" s="1"/>
  <c r="AL29" i="10"/>
  <c r="AL40" i="10" s="1"/>
  <c r="AL41" i="10" s="1"/>
  <c r="M29" i="5"/>
  <c r="M38" i="5" s="1"/>
  <c r="M39" i="5" s="1"/>
  <c r="AA29" i="6"/>
  <c r="AA38" i="6" s="1"/>
  <c r="AA39" i="6" s="1"/>
  <c r="AG29" i="4"/>
  <c r="AG38" i="4" s="1"/>
  <c r="AG39" i="4" s="1"/>
  <c r="O29" i="4"/>
  <c r="O38" i="4" s="1"/>
  <c r="O39" i="4" s="1"/>
  <c r="AF29" i="5"/>
  <c r="AF38" i="5" s="1"/>
  <c r="AF39" i="5" s="1"/>
  <c r="F29" i="6"/>
  <c r="F38" i="6" s="1"/>
  <c r="F39" i="6" s="1"/>
  <c r="AJ29" i="10"/>
  <c r="AJ40" i="10" s="1"/>
  <c r="AJ41" i="10" s="1"/>
  <c r="P29" i="10"/>
  <c r="P40" i="10" s="1"/>
  <c r="P41" i="10" s="1"/>
  <c r="AA29" i="10"/>
  <c r="AA40" i="10" s="1"/>
  <c r="AA41" i="10" s="1"/>
  <c r="E29" i="5"/>
  <c r="E38" i="5" s="1"/>
  <c r="E39" i="5" s="1"/>
  <c r="AI29" i="10"/>
  <c r="AI40" i="10" s="1"/>
  <c r="AI41" i="10" s="1"/>
  <c r="Y29" i="5"/>
  <c r="Y38" i="5" s="1"/>
  <c r="Y39" i="5" s="1"/>
  <c r="E29" i="6"/>
  <c r="E38" i="6" s="1"/>
  <c r="E39" i="6" s="1"/>
  <c r="T29" i="6"/>
  <c r="T38" i="6" s="1"/>
  <c r="T39" i="6" s="1"/>
  <c r="J29" i="6"/>
  <c r="J38" i="6" s="1"/>
  <c r="J39" i="6" s="1"/>
  <c r="L29" i="6"/>
  <c r="L38" i="6" s="1"/>
  <c r="L39" i="6" s="1"/>
  <c r="Z29" i="5"/>
  <c r="Z38" i="5" s="1"/>
  <c r="Z39" i="5" s="1"/>
  <c r="M29" i="4"/>
  <c r="M38" i="4" s="1"/>
  <c r="M39" i="4" s="1"/>
  <c r="AG29" i="10"/>
  <c r="AG40" i="10" s="1"/>
  <c r="AG41" i="10" s="1"/>
  <c r="K29" i="6"/>
  <c r="K38" i="6" s="1"/>
  <c r="K39" i="6" s="1"/>
  <c r="O29" i="5"/>
  <c r="O38" i="5" s="1"/>
  <c r="O39" i="5" s="1"/>
  <c r="G29" i="6"/>
  <c r="G38" i="6" s="1"/>
  <c r="G39" i="6" s="1"/>
  <c r="M29" i="10"/>
  <c r="M40" i="10" s="1"/>
  <c r="M41" i="10" s="1"/>
  <c r="C53" i="4"/>
  <c r="D53" i="4" s="1"/>
  <c r="F5" i="9" s="1"/>
  <c r="AH29" i="4"/>
  <c r="AH38" i="4" s="1"/>
  <c r="AH39" i="4" s="1"/>
  <c r="AC29" i="5"/>
  <c r="AC38" i="5" s="1"/>
  <c r="AC39" i="5" s="1"/>
  <c r="I29" i="6"/>
  <c r="I38" i="6" s="1"/>
  <c r="I39" i="6" s="1"/>
  <c r="I29" i="5"/>
  <c r="I38" i="5" s="1"/>
  <c r="I39" i="5" s="1"/>
  <c r="K29" i="4"/>
  <c r="K38" i="4" s="1"/>
  <c r="K39" i="4" s="1"/>
  <c r="U29" i="4"/>
  <c r="U38" i="4" s="1"/>
  <c r="U39" i="4" s="1"/>
  <c r="AE29" i="10"/>
  <c r="AE40" i="10" s="1"/>
  <c r="AE41" i="10" s="1"/>
  <c r="Q29" i="10"/>
  <c r="Q40" i="10" s="1"/>
  <c r="Q41" i="10" s="1"/>
  <c r="R29" i="6"/>
  <c r="R38" i="6" s="1"/>
  <c r="R39" i="6" s="1"/>
  <c r="AD29" i="5"/>
  <c r="AD38" i="5" s="1"/>
  <c r="AD39" i="5" s="1"/>
  <c r="N29" i="6"/>
  <c r="U29" i="10"/>
  <c r="U40" i="10" s="1"/>
  <c r="U41" i="10" s="1"/>
  <c r="U29" i="5"/>
  <c r="U38" i="5" s="1"/>
  <c r="U39" i="5" s="1"/>
  <c r="X29" i="6"/>
  <c r="P29" i="5"/>
  <c r="P38" i="5" s="1"/>
  <c r="P39" i="5" s="1"/>
  <c r="S29" i="6"/>
  <c r="S29" i="4"/>
  <c r="S38" i="4" s="1"/>
  <c r="S39" i="4" s="1"/>
  <c r="AG29" i="5"/>
  <c r="AG38" i="5" s="1"/>
  <c r="AG39" i="5" s="1"/>
  <c r="L29" i="5"/>
  <c r="L38" i="5" s="1"/>
  <c r="L39" i="5" s="1"/>
  <c r="AC29" i="10"/>
  <c r="AC40" i="10" s="1"/>
  <c r="AC41" i="10" s="1"/>
  <c r="AD29" i="6"/>
  <c r="AD38" i="6" s="1"/>
  <c r="AD39" i="6" s="1"/>
  <c r="L13" i="9"/>
  <c r="AD29" i="4"/>
  <c r="AD38" i="4" s="1"/>
  <c r="AD39" i="4" s="1"/>
  <c r="AH29" i="6"/>
  <c r="P29" i="6"/>
  <c r="P38" i="6" s="1"/>
  <c r="P39" i="6" s="1"/>
  <c r="X29" i="5"/>
  <c r="AF29" i="6"/>
  <c r="AF38" i="6" s="1"/>
  <c r="AF39" i="6" s="1"/>
  <c r="R29" i="4"/>
  <c r="R38" i="4" s="1"/>
  <c r="R39" i="4" s="1"/>
  <c r="V29" i="10"/>
  <c r="V40" i="10" s="1"/>
  <c r="V41" i="10" s="1"/>
  <c r="O29" i="10"/>
  <c r="O40" i="10" s="1"/>
  <c r="O41" i="10" s="1"/>
  <c r="M29" i="6"/>
  <c r="M38" i="6" s="1"/>
  <c r="M39" i="6" s="1"/>
  <c r="C30" i="10"/>
  <c r="I55" i="10"/>
  <c r="J55" i="10" s="1"/>
  <c r="K29" i="5"/>
  <c r="K38" i="5" s="1"/>
  <c r="K39" i="5" s="1"/>
  <c r="F29" i="5"/>
  <c r="F38" i="5" s="1"/>
  <c r="F39" i="5" s="1"/>
  <c r="X29" i="10"/>
  <c r="X40" i="10" s="1"/>
  <c r="X41" i="10" s="1"/>
  <c r="S29" i="10"/>
  <c r="S40" i="10" s="1"/>
  <c r="S41" i="10" s="1"/>
  <c r="AD29" i="10"/>
  <c r="AD40" i="10" s="1"/>
  <c r="AD41" i="10" s="1"/>
  <c r="C31" i="10"/>
  <c r="H29" i="6"/>
  <c r="H38" i="6" s="1"/>
  <c r="H39" i="6" s="1"/>
  <c r="N29" i="4"/>
  <c r="N38" i="4" s="1"/>
  <c r="N39" i="4" s="1"/>
  <c r="V29" i="6"/>
  <c r="V38" i="6" s="1"/>
  <c r="V39" i="6" s="1"/>
  <c r="I36" i="10" a="1"/>
  <c r="I36" i="10" s="1"/>
  <c r="AG29" i="6"/>
  <c r="AG38" i="6" s="1"/>
  <c r="AG39" i="6" s="1"/>
  <c r="R29" i="5"/>
  <c r="R38" i="5" s="1"/>
  <c r="R39" i="5" s="1"/>
  <c r="T29" i="4"/>
  <c r="T38" i="4" s="1"/>
  <c r="T39" i="4" s="1"/>
  <c r="K29" i="10"/>
  <c r="K40" i="10" s="1"/>
  <c r="AM29" i="10"/>
  <c r="AM40" i="10" s="1"/>
  <c r="AM41" i="10" s="1"/>
  <c r="P29" i="4"/>
  <c r="P38" i="4" s="1"/>
  <c r="P39" i="4" s="1"/>
  <c r="J29" i="5"/>
  <c r="J38" i="5" s="1"/>
  <c r="J39" i="5" s="1"/>
  <c r="H29" i="5"/>
  <c r="H38" i="5" s="1"/>
  <c r="H39" i="5" s="1"/>
  <c r="AH29" i="10"/>
  <c r="AH40" i="10" s="1"/>
  <c r="AH41" i="10" s="1"/>
  <c r="AN29" i="10"/>
  <c r="T29" i="5"/>
  <c r="T38" i="5" s="1"/>
  <c r="T39" i="5" s="1"/>
  <c r="Q29" i="5"/>
  <c r="Q38" i="5" s="1"/>
  <c r="Q39" i="5" s="1"/>
  <c r="AE29" i="6"/>
  <c r="AE38" i="6" s="1"/>
  <c r="AE39" i="6" s="1"/>
  <c r="B20" i="11"/>
  <c r="I7" i="9"/>
  <c r="AB29" i="5"/>
  <c r="AB38" i="5" s="1"/>
  <c r="AB39" i="5" s="1"/>
  <c r="AB29" i="10"/>
  <c r="AB40" i="10" s="1"/>
  <c r="AB41" i="10" s="1"/>
  <c r="AK29" i="10"/>
  <c r="AK40" i="10" s="1"/>
  <c r="AK41" i="10" s="1"/>
  <c r="O29" i="6"/>
  <c r="O38" i="6" s="1"/>
  <c r="O39" i="6" s="1"/>
  <c r="W29" i="6"/>
  <c r="W38" i="6" s="1"/>
  <c r="W39" i="6" s="1"/>
  <c r="AB29" i="6"/>
  <c r="AB38" i="6" s="1"/>
  <c r="AB39" i="6" s="1"/>
  <c r="W29" i="10"/>
  <c r="W40" i="10" s="1"/>
  <c r="W41" i="10" s="1"/>
  <c r="U29" i="6"/>
  <c r="U38" i="6" s="1"/>
  <c r="U39" i="6" s="1"/>
  <c r="AE29" i="5"/>
  <c r="AE38" i="5" s="1"/>
  <c r="AE39" i="5" s="1"/>
  <c r="Q29" i="6"/>
  <c r="Q38" i="6" s="1"/>
  <c r="Q39" i="6" s="1"/>
  <c r="G29" i="5"/>
  <c r="G38" i="5" s="1"/>
  <c r="G39" i="5" s="1"/>
  <c r="D10" i="6"/>
  <c r="D38" i="6" s="1"/>
  <c r="D39" i="6" s="1"/>
  <c r="I29" i="4"/>
  <c r="I38" i="4" s="1"/>
  <c r="I39" i="4" s="1"/>
  <c r="X29" i="4"/>
  <c r="X38" i="4" s="1"/>
  <c r="X39" i="4" s="1"/>
  <c r="E38" i="4"/>
  <c r="AH29" i="5"/>
  <c r="AC29" i="6"/>
  <c r="AC38" i="6" s="1"/>
  <c r="AC39" i="6" s="1"/>
  <c r="AA29" i="5"/>
  <c r="AA38" i="5" s="1"/>
  <c r="AA39" i="5" s="1"/>
  <c r="Y29" i="6"/>
  <c r="Y38" i="6" s="1"/>
  <c r="Y39" i="6" s="1"/>
  <c r="F29" i="4"/>
  <c r="F38" i="4" s="1"/>
  <c r="F39" i="4" s="1"/>
  <c r="B19" i="11"/>
  <c r="AA29" i="4"/>
  <c r="AA38" i="4" s="1"/>
  <c r="AA39" i="4" s="1"/>
  <c r="D10" i="5"/>
  <c r="D38" i="5" s="1"/>
  <c r="D39" i="5" s="1"/>
  <c r="Q29" i="4"/>
  <c r="Q38" i="4" s="1"/>
  <c r="Q39" i="4" s="1"/>
  <c r="Z29" i="4"/>
  <c r="Z38" i="4" s="1"/>
  <c r="Z39" i="4" s="1"/>
  <c r="AC29" i="4"/>
  <c r="AC38" i="4" s="1"/>
  <c r="AC39" i="4" s="1"/>
  <c r="T29" i="10"/>
  <c r="T40" i="10" s="1"/>
  <c r="T41" i="10" s="1"/>
  <c r="Z29" i="6"/>
  <c r="Z38" i="6" s="1"/>
  <c r="Z39" i="6" s="1"/>
  <c r="V29" i="5"/>
  <c r="V38" i="5" s="1"/>
  <c r="V39" i="5" s="1"/>
  <c r="S38" i="5" l="1"/>
  <c r="S39" i="5" s="1"/>
  <c r="S38" i="6"/>
  <c r="S39" i="6" s="1"/>
  <c r="N38" i="5"/>
  <c r="N39" i="5" s="1"/>
  <c r="N38" i="6"/>
  <c r="N39" i="6" s="1"/>
  <c r="X38" i="5"/>
  <c r="X39" i="5" s="1"/>
  <c r="E5" i="9"/>
  <c r="C53" i="5"/>
  <c r="D30" i="10"/>
  <c r="E30" i="10" s="1"/>
  <c r="F30" i="10" s="1"/>
  <c r="D29" i="10"/>
  <c r="E29" i="10" s="1"/>
  <c r="F29" i="10" s="1"/>
  <c r="D31" i="10"/>
  <c r="E31" i="10" s="1"/>
  <c r="F31" i="10" s="1"/>
  <c r="C52" i="6"/>
  <c r="D40" i="6"/>
  <c r="E40" i="6" s="1"/>
  <c r="I58" i="10"/>
  <c r="AN40" i="10"/>
  <c r="AN41" i="10" s="1"/>
  <c r="C55" i="6"/>
  <c r="AH38" i="6"/>
  <c r="AH39" i="6" s="1"/>
  <c r="X38" i="6"/>
  <c r="X39" i="6" s="1"/>
  <c r="C56" i="5"/>
  <c r="AH38" i="5"/>
  <c r="AH39" i="5" s="1"/>
  <c r="D40" i="5"/>
  <c r="E40" i="5" s="1"/>
  <c r="C56" i="4"/>
  <c r="K41" i="10"/>
  <c r="E39" i="4"/>
  <c r="C44" i="4"/>
  <c r="C48" i="4" s="1"/>
  <c r="C42" i="6" l="1"/>
  <c r="C43" i="5"/>
  <c r="C43" i="6"/>
  <c r="L11" i="9" s="1"/>
  <c r="I46" i="10"/>
  <c r="I50" i="10" s="1"/>
  <c r="F40" i="5"/>
  <c r="E41" i="5"/>
  <c r="E41" i="6"/>
  <c r="F40" i="6"/>
  <c r="J58" i="10"/>
  <c r="J61" i="10" s="1"/>
  <c r="I61" i="10"/>
  <c r="C46" i="6"/>
  <c r="C47" i="5"/>
  <c r="S8" i="9"/>
  <c r="D56" i="5"/>
  <c r="C59" i="5"/>
  <c r="E40" i="4"/>
  <c r="C43" i="4"/>
  <c r="E11" i="9" s="1"/>
  <c r="D55" i="6"/>
  <c r="L8" i="9"/>
  <c r="C58" i="6"/>
  <c r="D52" i="6"/>
  <c r="M5" i="9" s="1"/>
  <c r="L5" i="9"/>
  <c r="E8" i="9"/>
  <c r="C59" i="4"/>
  <c r="D56" i="4"/>
  <c r="D53" i="5"/>
  <c r="T5" i="9" s="1"/>
  <c r="S5" i="9"/>
  <c r="K42" i="10"/>
  <c r="I45" i="10"/>
  <c r="C44" i="5"/>
  <c r="C47" i="6" l="1"/>
  <c r="M11" i="9" s="1"/>
  <c r="D42" i="6"/>
  <c r="S11" i="9"/>
  <c r="C48" i="5"/>
  <c r="T11" i="9" s="1"/>
  <c r="F8" i="9"/>
  <c r="D59" i="4"/>
  <c r="J45" i="10"/>
  <c r="I49" i="10"/>
  <c r="J49" i="10" s="1"/>
  <c r="M8" i="9"/>
  <c r="D58" i="6"/>
  <c r="T8" i="9"/>
  <c r="D59" i="5"/>
  <c r="K43" i="10"/>
  <c r="L42" i="10"/>
  <c r="D43" i="5"/>
  <c r="D43" i="4"/>
  <c r="C47" i="4"/>
  <c r="F41" i="6"/>
  <c r="G40" i="6"/>
  <c r="E41" i="4"/>
  <c r="F40" i="4"/>
  <c r="G40" i="5"/>
  <c r="F41" i="5"/>
  <c r="D46" i="6" l="1"/>
  <c r="G41" i="5"/>
  <c r="H40" i="5"/>
  <c r="F41" i="4"/>
  <c r="G40" i="4"/>
  <c r="M42" i="10"/>
  <c r="L43" i="10"/>
  <c r="G41" i="6"/>
  <c r="H40" i="6"/>
  <c r="D47" i="5"/>
  <c r="F11" i="9"/>
  <c r="D47" i="4"/>
  <c r="H41" i="6" l="1"/>
  <c r="I40" i="6"/>
  <c r="N42" i="10"/>
  <c r="M43" i="10"/>
  <c r="G41" i="4"/>
  <c r="H40" i="4"/>
  <c r="I40" i="5"/>
  <c r="H41" i="5"/>
  <c r="J40" i="5" l="1"/>
  <c r="I41" i="5"/>
  <c r="H41" i="4"/>
  <c r="I40" i="4"/>
  <c r="I41" i="6"/>
  <c r="J40" i="6"/>
  <c r="O42" i="10"/>
  <c r="N43" i="10"/>
  <c r="O43" i="10" l="1"/>
  <c r="P42" i="10"/>
  <c r="J41" i="6"/>
  <c r="K40" i="6"/>
  <c r="I41" i="4"/>
  <c r="J40" i="4"/>
  <c r="K40" i="5"/>
  <c r="J41" i="5"/>
  <c r="K41" i="5" l="1"/>
  <c r="L40" i="5"/>
  <c r="J41" i="4"/>
  <c r="K40" i="4"/>
  <c r="K41" i="6"/>
  <c r="L40" i="6"/>
  <c r="Q42" i="10"/>
  <c r="P43" i="10"/>
  <c r="Q43" i="10" l="1"/>
  <c r="R42" i="10"/>
  <c r="L41" i="5"/>
  <c r="M40" i="5"/>
  <c r="L41" i="6"/>
  <c r="M40" i="6"/>
  <c r="K41" i="4"/>
  <c r="L40" i="4"/>
  <c r="S42" i="10" l="1"/>
  <c r="R43" i="10"/>
  <c r="L41" i="4"/>
  <c r="M40" i="4"/>
  <c r="M41" i="6"/>
  <c r="N40" i="6"/>
  <c r="M41" i="5"/>
  <c r="N40" i="5"/>
  <c r="O40" i="5" l="1"/>
  <c r="N41" i="5"/>
  <c r="N41" i="6"/>
  <c r="O40" i="6"/>
  <c r="M41" i="4"/>
  <c r="N40" i="4"/>
  <c r="S43" i="10"/>
  <c r="T42" i="10"/>
  <c r="O41" i="6" l="1"/>
  <c r="P40" i="6"/>
  <c r="T43" i="10"/>
  <c r="U42" i="10"/>
  <c r="N41" i="4"/>
  <c r="O40" i="4"/>
  <c r="O41" i="5"/>
  <c r="P40" i="5"/>
  <c r="Q40" i="5" l="1"/>
  <c r="P41" i="5"/>
  <c r="O41" i="4"/>
  <c r="P40" i="4"/>
  <c r="V42" i="10"/>
  <c r="U43" i="10"/>
  <c r="P41" i="6"/>
  <c r="Q40" i="6"/>
  <c r="P41" i="4" l="1"/>
  <c r="Q40" i="4"/>
  <c r="Q41" i="6"/>
  <c r="R40" i="6"/>
  <c r="V43" i="10"/>
  <c r="W42" i="10"/>
  <c r="R40" i="5"/>
  <c r="Q41" i="5"/>
  <c r="S40" i="5" l="1"/>
  <c r="R41" i="5"/>
  <c r="W43" i="10"/>
  <c r="X42" i="10"/>
  <c r="R41" i="6"/>
  <c r="S40" i="6"/>
  <c r="Q41" i="4"/>
  <c r="R40" i="4"/>
  <c r="R41" i="4" l="1"/>
  <c r="S40" i="4"/>
  <c r="S41" i="6"/>
  <c r="T40" i="6"/>
  <c r="X43" i="10"/>
  <c r="Y42" i="10"/>
  <c r="S41" i="5"/>
  <c r="T40" i="5"/>
  <c r="U40" i="5" l="1"/>
  <c r="T41" i="5"/>
  <c r="Y43" i="10"/>
  <c r="Z42" i="10"/>
  <c r="T41" i="6"/>
  <c r="U40" i="6"/>
  <c r="S41" i="4"/>
  <c r="T40" i="4"/>
  <c r="U41" i="6" l="1"/>
  <c r="V40" i="6"/>
  <c r="AA42" i="10"/>
  <c r="Z43" i="10"/>
  <c r="T41" i="4"/>
  <c r="U40" i="4"/>
  <c r="U41" i="5"/>
  <c r="V40" i="5"/>
  <c r="V41" i="5" l="1"/>
  <c r="W40" i="5"/>
  <c r="U41" i="4"/>
  <c r="V40" i="4"/>
  <c r="AB42" i="10"/>
  <c r="AA43" i="10"/>
  <c r="V41" i="6"/>
  <c r="W40" i="6"/>
  <c r="W41" i="6" l="1"/>
  <c r="X40" i="6"/>
  <c r="V41" i="4"/>
  <c r="W40" i="4"/>
  <c r="AB43" i="10"/>
  <c r="AC42" i="10"/>
  <c r="W41" i="5"/>
  <c r="X40" i="5"/>
  <c r="X41" i="5" l="1"/>
  <c r="Y40" i="5"/>
  <c r="W41" i="4"/>
  <c r="X40" i="4"/>
  <c r="AC43" i="10"/>
  <c r="AD42" i="10"/>
  <c r="X41" i="6"/>
  <c r="Y40" i="6"/>
  <c r="Y41" i="6" l="1"/>
  <c r="Z40" i="6"/>
  <c r="AE42" i="10"/>
  <c r="AD43" i="10"/>
  <c r="X41" i="4"/>
  <c r="Y40" i="4"/>
  <c r="Y41" i="5"/>
  <c r="Z40" i="5"/>
  <c r="Z41" i="5" l="1"/>
  <c r="AA40" i="5"/>
  <c r="Y41" i="4"/>
  <c r="Z40" i="4"/>
  <c r="AE43" i="10"/>
  <c r="AF42" i="10"/>
  <c r="Z41" i="6"/>
  <c r="AA40" i="6"/>
  <c r="AA41" i="6" l="1"/>
  <c r="AB40" i="6"/>
  <c r="AF43" i="10"/>
  <c r="AG42" i="10"/>
  <c r="Z41" i="4"/>
  <c r="AA40" i="4"/>
  <c r="AB40" i="5"/>
  <c r="AA41" i="5"/>
  <c r="AB41" i="5" l="1"/>
  <c r="AC40" i="5"/>
  <c r="AA41" i="4"/>
  <c r="AB40" i="4"/>
  <c r="AH42" i="10"/>
  <c r="AG43" i="10"/>
  <c r="AB41" i="6"/>
  <c r="AC40" i="6"/>
  <c r="AC41" i="6" l="1"/>
  <c r="AD40" i="6"/>
  <c r="AH43" i="10"/>
  <c r="AI42" i="10"/>
  <c r="AB41" i="4"/>
  <c r="AC40" i="4"/>
  <c r="AD40" i="5"/>
  <c r="AC41" i="5"/>
  <c r="AE40" i="5" l="1"/>
  <c r="AD41" i="5"/>
  <c r="AC41" i="4"/>
  <c r="AD40" i="4"/>
  <c r="AI43" i="10"/>
  <c r="AJ42" i="10"/>
  <c r="AD41" i="6"/>
  <c r="AE40" i="6"/>
  <c r="AE41" i="6" l="1"/>
  <c r="AF40" i="6"/>
  <c r="AJ43" i="10"/>
  <c r="AK42" i="10"/>
  <c r="AD41" i="4"/>
  <c r="AE40" i="4"/>
  <c r="AF40" i="5"/>
  <c r="AE41" i="5"/>
  <c r="AF41" i="5" l="1"/>
  <c r="AG40" i="5"/>
  <c r="AE41" i="4"/>
  <c r="AF40" i="4"/>
  <c r="AL42" i="10"/>
  <c r="AK43" i="10"/>
  <c r="AF41" i="6"/>
  <c r="AG40" i="6"/>
  <c r="AG41" i="6" l="1"/>
  <c r="AH40" i="6"/>
  <c r="AH41" i="6" s="1"/>
  <c r="L15" i="9" s="1"/>
  <c r="AF41" i="4"/>
  <c r="AG40" i="4"/>
  <c r="AL43" i="10"/>
  <c r="AM42" i="10"/>
  <c r="AH40" i="5"/>
  <c r="AH41" i="5" s="1"/>
  <c r="S15" i="9" s="1"/>
  <c r="AG41" i="5"/>
  <c r="AN42" i="10" l="1"/>
  <c r="AN43" i="10" s="1"/>
  <c r="AM43" i="10"/>
  <c r="AG41" i="4"/>
  <c r="AH40" i="4"/>
  <c r="AH41" i="4" s="1"/>
  <c r="E15" i="9" s="1"/>
  <c r="I63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<sst xmlns="http://schemas.openxmlformats.org/spreadsheetml/2006/main" count="738" uniqueCount="302">
  <si>
    <t>Investitionskosten nach DIN 276</t>
  </si>
  <si>
    <t>Betriebskosten</t>
  </si>
  <si>
    <t>Position</t>
  </si>
  <si>
    <t>Einheit</t>
  </si>
  <si>
    <t>Menge</t>
  </si>
  <si>
    <t xml:space="preserve">KG Nr. </t>
  </si>
  <si>
    <t>Kostengruppe</t>
  </si>
  <si>
    <t>Netto</t>
  </si>
  <si>
    <t>EP [€]</t>
  </si>
  <si>
    <t>GP [€]</t>
  </si>
  <si>
    <t>Grundstückswert</t>
  </si>
  <si>
    <t>Strom</t>
  </si>
  <si>
    <t>kWh/a</t>
  </si>
  <si>
    <t>Ausbaugrad</t>
  </si>
  <si>
    <t>Grundstücksnebenkosten</t>
  </si>
  <si>
    <t>Wärme</t>
  </si>
  <si>
    <t>MJ/a</t>
  </si>
  <si>
    <t>KS/KSA-Mengen</t>
  </si>
  <si>
    <t>t/a</t>
  </si>
  <si>
    <t>Rechte Dritter</t>
  </si>
  <si>
    <t>Wasser</t>
  </si>
  <si>
    <t>m³/a</t>
  </si>
  <si>
    <t>Grundstück - Zwischensumme</t>
  </si>
  <si>
    <t>Personal</t>
  </si>
  <si>
    <t>h/a</t>
  </si>
  <si>
    <t>Herrichten</t>
  </si>
  <si>
    <t>Betriebsmittel</t>
  </si>
  <si>
    <t>Öffentliche Erschließung</t>
  </si>
  <si>
    <t>Abk.</t>
  </si>
  <si>
    <t>Nichtöffentliche Erschließung</t>
  </si>
  <si>
    <t>Chlorwasserstoff (Salzsäure)</t>
  </si>
  <si>
    <t>HCl</t>
  </si>
  <si>
    <t>kg/a</t>
  </si>
  <si>
    <t>Ausgleichsmaßnahmen und -abgaben</t>
  </si>
  <si>
    <t>Harnstoff</t>
  </si>
  <si>
    <r>
      <t>CH</t>
    </r>
    <r>
      <rPr>
        <vertAlign val="subscript"/>
        <sz val="11"/>
        <rFont val="Arial"/>
        <family val="2"/>
      </rPr>
      <t>4</t>
    </r>
    <r>
      <rPr>
        <sz val="11"/>
        <rFont val="Arial"/>
        <family val="2"/>
      </rPr>
      <t>N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O</t>
    </r>
  </si>
  <si>
    <t>Übergangsmaßnahmen</t>
  </si>
  <si>
    <t>Schwefelsäure</t>
  </si>
  <si>
    <r>
      <t>H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SO</t>
    </r>
    <r>
      <rPr>
        <vertAlign val="subscript"/>
        <sz val="11"/>
        <rFont val="Arial"/>
        <family val="2"/>
      </rPr>
      <t>4</t>
    </r>
  </si>
  <si>
    <t>Vorbereitende Maßnahmen - Zwischensumme</t>
  </si>
  <si>
    <t>Phosphorsäure</t>
  </si>
  <si>
    <r>
      <t>H</t>
    </r>
    <r>
      <rPr>
        <vertAlign val="subscript"/>
        <sz val="11"/>
        <rFont val="Arial"/>
        <family val="2"/>
      </rPr>
      <t>3</t>
    </r>
    <r>
      <rPr>
        <sz val="11"/>
        <rFont val="Arial"/>
        <family val="2"/>
      </rPr>
      <t>PO</t>
    </r>
    <r>
      <rPr>
        <vertAlign val="subscript"/>
        <sz val="11"/>
        <rFont val="Arial"/>
        <family val="2"/>
      </rPr>
      <t>4</t>
    </r>
  </si>
  <si>
    <t>Natriumhydroxid</t>
  </si>
  <si>
    <t>NaOH</t>
  </si>
  <si>
    <t>Baugrube/Erdbau</t>
  </si>
  <si>
    <t>Nariumcarbonat</t>
  </si>
  <si>
    <r>
      <t>Na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CO</t>
    </r>
    <r>
      <rPr>
        <vertAlign val="subscript"/>
        <sz val="11"/>
        <rFont val="Arial"/>
        <family val="2"/>
      </rPr>
      <t>3</t>
    </r>
  </si>
  <si>
    <t>Gründung, Unterbau</t>
  </si>
  <si>
    <t>Calciumhydroxid</t>
  </si>
  <si>
    <r>
      <t>Ca(OH)</t>
    </r>
    <r>
      <rPr>
        <vertAlign val="subscript"/>
        <sz val="11"/>
        <rFont val="Arial"/>
        <family val="2"/>
      </rPr>
      <t>2</t>
    </r>
  </si>
  <si>
    <t>Außenwände/Vertikale Baukonstruktionen, außen</t>
  </si>
  <si>
    <t>Magnesiumchlorid</t>
  </si>
  <si>
    <r>
      <t>MgCl</t>
    </r>
    <r>
      <rPr>
        <vertAlign val="subscript"/>
        <sz val="11"/>
        <rFont val="Arial"/>
        <family val="2"/>
      </rPr>
      <t>2</t>
    </r>
  </si>
  <si>
    <t>Innenwände/Vertikale Baukonstruktionen, innen</t>
  </si>
  <si>
    <t>FM/FHM</t>
  </si>
  <si>
    <t>Polymer</t>
  </si>
  <si>
    <t>Decken/Horizontale Baukonstruktionen</t>
  </si>
  <si>
    <t>Zitronensäure</t>
  </si>
  <si>
    <t>C₆H₈O₇</t>
  </si>
  <si>
    <t>Dachkonstruktionen</t>
  </si>
  <si>
    <t>Ergänzung 1</t>
  </si>
  <si>
    <t>…</t>
  </si>
  <si>
    <t>Baukonstruktive Einbauten</t>
  </si>
  <si>
    <t>Ergänzung 2</t>
  </si>
  <si>
    <t>Grundkonstruktion</t>
  </si>
  <si>
    <t>Ergänzung 3</t>
  </si>
  <si>
    <t>Sonstige Maßnahmen für Baukonstruktionen</t>
  </si>
  <si>
    <t xml:space="preserve"> Bauwerk (Baukonstruktionen) - Zwischensumme</t>
  </si>
  <si>
    <t>Abwasser-, Wasser-, Gasanlagen</t>
  </si>
  <si>
    <t>Sonstige Kosten</t>
  </si>
  <si>
    <t>Wärmeversorgungsanlagen</t>
  </si>
  <si>
    <t>Raumlufttechnische Anlagen</t>
  </si>
  <si>
    <t>Entsorgung</t>
  </si>
  <si>
    <t>Elektrische Anlagen</t>
  </si>
  <si>
    <t>Wartung</t>
  </si>
  <si>
    <t>(% von Inv.)</t>
  </si>
  <si>
    <t>%</t>
  </si>
  <si>
    <t>Kommunikations-, sicherheits- und informationstechnische Anlagen</t>
  </si>
  <si>
    <t>Versicherung</t>
  </si>
  <si>
    <t>Förderanlagen</t>
  </si>
  <si>
    <t>Nutzungsspezifische und verfahrenstechnische Anlagen</t>
  </si>
  <si>
    <t>Gebäude- und Anlagenautomation</t>
  </si>
  <si>
    <t>Sonstige Maßnahmen für technische Anlagen</t>
  </si>
  <si>
    <t>Primärprodukt 1</t>
  </si>
  <si>
    <t>Geländeflächen</t>
  </si>
  <si>
    <t>Gründung, Unterbau, Befestigte Flächen</t>
  </si>
  <si>
    <t>Baukonstruktion in Außenanlagen, Oberbau, Deckschichten</t>
  </si>
  <si>
    <t>Sekundärprodukt 1</t>
  </si>
  <si>
    <t>Baukonstruktionen</t>
  </si>
  <si>
    <t>Sekundärprodukt 2</t>
  </si>
  <si>
    <t>Technische Anlagen</t>
  </si>
  <si>
    <t>Sekundärprodukt 3</t>
  </si>
  <si>
    <t>Einbauten in Außenanlagen und Freiflächen</t>
  </si>
  <si>
    <t>Vegetationsflächen</t>
  </si>
  <si>
    <t>Wasserflächen</t>
  </si>
  <si>
    <t>Sonstige Maßnahmen für Außenanlagen und Freiflächen</t>
  </si>
  <si>
    <t>Außenanlagen u. Freiflächen - Zwischensumme</t>
  </si>
  <si>
    <t>Allgemeine Ausstattung</t>
  </si>
  <si>
    <t>Besondere Ausstattung</t>
  </si>
  <si>
    <t>Informationstechnische Ausstattung</t>
  </si>
  <si>
    <t>Künstlerische Ausstattung</t>
  </si>
  <si>
    <t>Sonstige Ausstattung</t>
  </si>
  <si>
    <t>Ausstattung u. Kunstwerke - Zwischensumme</t>
  </si>
  <si>
    <t>Bauherrenaufgaben</t>
  </si>
  <si>
    <t>Vorbereitung der Objektplanung</t>
  </si>
  <si>
    <t>Objektplanung</t>
  </si>
  <si>
    <t>Fachplanung (Guthaben u. Beratung)</t>
  </si>
  <si>
    <t>Künstlerische Leistungen</t>
  </si>
  <si>
    <t>Sonderfinanzierungen</t>
  </si>
  <si>
    <t>Allgemeine Baunebenkosten</t>
  </si>
  <si>
    <t>Sonstige Baunebenkosten</t>
  </si>
  <si>
    <t>Baunebenkosten - Zwischensumme</t>
  </si>
  <si>
    <t>Finanzierungsnebenkosten</t>
  </si>
  <si>
    <t>Fremdkapitalzinsen</t>
  </si>
  <si>
    <t>Eigenkapitalzinsen</t>
  </si>
  <si>
    <t>Bürgschaften</t>
  </si>
  <si>
    <t>Finanzierung - Zwischensumme</t>
  </si>
  <si>
    <t>Zeithorizont</t>
  </si>
  <si>
    <t>Zusammenfassung</t>
  </si>
  <si>
    <t>Parameter</t>
  </si>
  <si>
    <t>Anzahl</t>
  </si>
  <si>
    <t>Kostenpunkt</t>
  </si>
  <si>
    <r>
      <t>Gesamtkosten (</t>
    </r>
    <r>
      <rPr>
        <sz val="11"/>
        <color theme="1"/>
        <rFont val="Calibri"/>
        <family val="2"/>
      </rPr>
      <t>±0%)</t>
    </r>
  </si>
  <si>
    <t>Betrachtungszeitraum</t>
  </si>
  <si>
    <t>a</t>
  </si>
  <si>
    <t>Investition</t>
  </si>
  <si>
    <t>Baukonstruktion</t>
  </si>
  <si>
    <t>€</t>
  </si>
  <si>
    <t>Abschreibung</t>
  </si>
  <si>
    <t>Techn. Anlagen</t>
  </si>
  <si>
    <t>Bauwerk</t>
  </si>
  <si>
    <t>SUMME</t>
  </si>
  <si>
    <t>Nutzungszeitraum</t>
  </si>
  <si>
    <t>€/a</t>
  </si>
  <si>
    <t>Gesamt</t>
  </si>
  <si>
    <t>Preisänderungsrate</t>
  </si>
  <si>
    <t>Transport/Entsorgung</t>
  </si>
  <si>
    <t>P-Produkte</t>
  </si>
  <si>
    <t>Treibstoff</t>
  </si>
  <si>
    <t>Erlöse</t>
  </si>
  <si>
    <t>Primärprodukt</t>
  </si>
  <si>
    <t>Sekundärprodukt</t>
  </si>
  <si>
    <t>Treibstoffpreis</t>
  </si>
  <si>
    <t>€/l</t>
  </si>
  <si>
    <t>Treibstoffverbrauch</t>
  </si>
  <si>
    <t>l/100km</t>
  </si>
  <si>
    <t>Transport-/Entsorgungskosten</t>
  </si>
  <si>
    <t>€/km</t>
  </si>
  <si>
    <t>km/a</t>
  </si>
  <si>
    <t>Entsorgungskosten</t>
  </si>
  <si>
    <t>t</t>
  </si>
  <si>
    <t>Ausbaugröße [E]</t>
  </si>
  <si>
    <t>KSA [t]</t>
  </si>
  <si>
    <t>EW</t>
  </si>
  <si>
    <t>Periode</t>
  </si>
  <si>
    <t>Investitionskosten</t>
  </si>
  <si>
    <t>Technische Anlage</t>
  </si>
  <si>
    <t>Preiststeigerung</t>
  </si>
  <si>
    <t>Preisteigerung</t>
  </si>
  <si>
    <t>Preissteigerung</t>
  </si>
  <si>
    <t>Unterhaltungskosten</t>
  </si>
  <si>
    <t>Anteil an Inv.</t>
  </si>
  <si>
    <t>Instandhaltung</t>
  </si>
  <si>
    <t>ZAHLUNGSSTRÖME</t>
  </si>
  <si>
    <t>Diskontierungsfaktor</t>
  </si>
  <si>
    <t>Kapitalfluss (netto)</t>
  </si>
  <si>
    <t>Kapitalfluss (disk.)</t>
  </si>
  <si>
    <t>Überprüfung</t>
  </si>
  <si>
    <t>Kapitalwert (manuel)</t>
  </si>
  <si>
    <t>Kapitalwert (Formel)</t>
  </si>
  <si>
    <t>Annuitätenfaktor</t>
  </si>
  <si>
    <t>Annuität (manuell)</t>
  </si>
  <si>
    <t>Annuität (Formel)</t>
  </si>
  <si>
    <t>EMSR</t>
  </si>
  <si>
    <t>Spalte1</t>
  </si>
  <si>
    <t>Umwandlung zu</t>
  </si>
  <si>
    <t>Verfahrenskapazität</t>
  </si>
  <si>
    <r>
      <t xml:space="preserve">Nach </t>
    </r>
    <r>
      <rPr>
        <b/>
        <sz val="11"/>
        <color theme="1"/>
        <rFont val="Calibri"/>
        <family val="2"/>
        <scheme val="minor"/>
      </rPr>
      <t>Durchsatz [t/a]</t>
    </r>
  </si>
  <si>
    <r>
      <t xml:space="preserve">Nach Input </t>
    </r>
    <r>
      <rPr>
        <b/>
        <sz val="11"/>
        <color theme="1"/>
        <rFont val="Calibri"/>
        <family val="2"/>
        <scheme val="minor"/>
      </rPr>
      <t>Ausbaugrad [EW]</t>
    </r>
  </si>
  <si>
    <t xml:space="preserve">Interpolation für die Umrechnung von Ausbaugröße EW in Durchsatz t/a </t>
  </si>
  <si>
    <t>KG</t>
  </si>
  <si>
    <t>Gliederung</t>
  </si>
  <si>
    <t xml:space="preserve">  </t>
  </si>
  <si>
    <t xml:space="preserve"> </t>
  </si>
  <si>
    <t xml:space="preserve">   </t>
  </si>
  <si>
    <t xml:space="preserve">    </t>
  </si>
  <si>
    <t>Kalkulationszins</t>
  </si>
  <si>
    <t>Allgemein durch</t>
  </si>
  <si>
    <t>Spezifisch für</t>
  </si>
  <si>
    <t>Schwankungsbreite der Investitionskosten</t>
  </si>
  <si>
    <t>EMSR Kosten (anteilig von techn. Anlagen)</t>
  </si>
  <si>
    <t>Änderungsraten</t>
  </si>
  <si>
    <r>
      <t>Investitionskosten
(Best Case</t>
    </r>
    <r>
      <rPr>
        <sz val="11"/>
        <color theme="1"/>
        <rFont val="Calibri"/>
        <family val="2"/>
      </rPr>
      <t>)</t>
    </r>
  </si>
  <si>
    <r>
      <t>Investitionskosten (Worst Case</t>
    </r>
    <r>
      <rPr>
        <sz val="11"/>
        <color theme="1"/>
        <rFont val="Calibri"/>
        <family val="2"/>
      </rPr>
      <t>)</t>
    </r>
  </si>
  <si>
    <t>Saklierungsfaktor Investition</t>
  </si>
  <si>
    <t>Skalierungsfaktor Betriebskosten</t>
  </si>
  <si>
    <t>Nein</t>
  </si>
  <si>
    <t>gewählte Skalierung</t>
  </si>
  <si>
    <t>Skalierungsgrößen</t>
  </si>
  <si>
    <t>Allgemein</t>
  </si>
  <si>
    <t>Reinvestitionen</t>
  </si>
  <si>
    <t>Annuität</t>
  </si>
  <si>
    <t>NPVs</t>
  </si>
  <si>
    <t>Spezifische Kosten</t>
  </si>
  <si>
    <t>EUR/E</t>
  </si>
  <si>
    <t>EUR/E*a</t>
  </si>
  <si>
    <t>Spezifische Investitionskosten</t>
  </si>
  <si>
    <t>EUR/kg P</t>
  </si>
  <si>
    <t xml:space="preserve">Neutral </t>
  </si>
  <si>
    <t>Best Case</t>
  </si>
  <si>
    <t>Worst Case</t>
  </si>
  <si>
    <t>Verfahren nach</t>
  </si>
  <si>
    <t>Kapitalwerte</t>
  </si>
  <si>
    <t xml:space="preserve">Gesamt </t>
  </si>
  <si>
    <t>Amortisation</t>
  </si>
  <si>
    <t>Kum. Werte</t>
  </si>
  <si>
    <t>Amortisationszeit</t>
  </si>
  <si>
    <t>Perioden</t>
  </si>
  <si>
    <t>Neutral</t>
  </si>
  <si>
    <t>Standard</t>
  </si>
  <si>
    <t>Entwicklung</t>
  </si>
  <si>
    <t>neutral</t>
  </si>
  <si>
    <t>Faktor (+/-)</t>
  </si>
  <si>
    <t>Absatz</t>
  </si>
  <si>
    <r>
      <t xml:space="preserve">Szenario </t>
    </r>
    <r>
      <rPr>
        <sz val="11"/>
        <color theme="1"/>
        <rFont val="Calibri"/>
        <family val="2"/>
        <scheme val="minor"/>
      </rPr>
      <t>(Invest.)</t>
    </r>
  </si>
  <si>
    <t>Jahreskosten</t>
  </si>
  <si>
    <t>Best</t>
  </si>
  <si>
    <t>Worst</t>
  </si>
  <si>
    <t>Veränderung (abs.) [€]</t>
  </si>
  <si>
    <t>Abschreibung (Gesamt)</t>
  </si>
  <si>
    <t>Sensitivitätsanalyse</t>
  </si>
  <si>
    <t>Veränderung [%]</t>
  </si>
  <si>
    <t>Positiv</t>
  </si>
  <si>
    <t>Negativ</t>
  </si>
  <si>
    <t>Dieses Excel-Tool soll als Berechnungshilfe für die Wirtschaftlichkeitsbetrachtung für Anlagen der Phosphorrückgewinnung dienen.</t>
  </si>
  <si>
    <t>•</t>
  </si>
  <si>
    <t>Manipulationsfelder</t>
  </si>
  <si>
    <t>Kategoriefelder</t>
  </si>
  <si>
    <t>Grüne Felder stehen für Erlöse</t>
  </si>
  <si>
    <t>Cyan Felder steht für Abschreibung</t>
  </si>
  <si>
    <t>(Matt) Blaue Felder stehen für Investitionskosten</t>
  </si>
  <si>
    <t>Hellgraue Felder stehen für sonstige Kosten</t>
  </si>
  <si>
    <t>Das Tool verfolgt zur Orientierung eine Farbcodierung.  Es wird dabei zwischen "Manipulations"-Feldern und einfachen Kategoriefeldern unterschieden.</t>
  </si>
  <si>
    <t>Tabellenblatt: Input</t>
  </si>
  <si>
    <t>Betriebskosten/-mittel</t>
  </si>
  <si>
    <t xml:space="preserve">Angaben zu den Entsorgungskosten/Transportkosten sind über das Tabellenblatt "Randbedingungen" (--&gt; Treibstoffpreis) zu ändern. </t>
  </si>
  <si>
    <t>Tabellenblatt: Randbedingungen</t>
  </si>
  <si>
    <t>Abschreibungen</t>
  </si>
  <si>
    <t>- Zeithorizonten</t>
  </si>
  <si>
    <t>- Kalkulationszinssatz</t>
  </si>
  <si>
    <t>Tabellenblatt: Zusammenfassung</t>
  </si>
  <si>
    <t>Tabellenblatt: Ergebnis</t>
  </si>
  <si>
    <t>Hier werden die Ergbnisse aus der Wirtschaftlichkeitsberechnung unterschiedlicher Szenarien zusammengefasst.</t>
  </si>
  <si>
    <t>Tabellenblatt: Sensitivitätsanalyse</t>
  </si>
  <si>
    <t>Tabellenblatt: Wirtschaftlichkeit (Neutral)</t>
  </si>
  <si>
    <t>Tabellenblatt: Wirtschaftlichkeit (Positiv)</t>
  </si>
  <si>
    <t>Tabellenblatt: Wirtschaftlichkeit (Negativ)</t>
  </si>
  <si>
    <r>
      <t>Durchführung der Wirtschaftlichkeitsberechnung mit Investitionsschwankungsbreite von -35</t>
    </r>
    <r>
      <rPr>
        <sz val="11"/>
        <color theme="1"/>
        <rFont val="Calibri"/>
        <family val="2"/>
      </rPr>
      <t>%</t>
    </r>
  </si>
  <si>
    <r>
      <t xml:space="preserve">Durchführung der Wirtschaftlichkeitsberechnung mit Investitionsschwankungsbreite von </t>
    </r>
    <r>
      <rPr>
        <sz val="11"/>
        <color theme="1"/>
        <rFont val="Calibri"/>
        <family val="2"/>
      </rPr>
      <t>±0%</t>
    </r>
  </si>
  <si>
    <r>
      <t>Durchführung der Wirtschaftlichkeitsberechnung mit Investitionsschwankungsbreite von +</t>
    </r>
    <r>
      <rPr>
        <sz val="11"/>
        <color theme="1"/>
        <rFont val="Calibri"/>
        <family val="2"/>
      </rPr>
      <t>35%</t>
    </r>
  </si>
  <si>
    <t>Kapitalwert</t>
  </si>
  <si>
    <t>Bauwerk (Technische Anlagen) - Zwischensumme</t>
  </si>
  <si>
    <t>EMSR prozentual von den Kosten der technischen Anlagen abschätzen?</t>
  </si>
  <si>
    <t>Ja</t>
  </si>
  <si>
    <t>Kosten EMSR</t>
  </si>
  <si>
    <t>Inflation</t>
  </si>
  <si>
    <t>Levelized Cost of Phosphor</t>
  </si>
  <si>
    <t>Spezifische Kosten Primärprodukt</t>
  </si>
  <si>
    <t>Spezifische Betriebskosten (gesamt)</t>
  </si>
  <si>
    <t>Jahres kosten</t>
  </si>
  <si>
    <t>Instandsetzung</t>
  </si>
  <si>
    <t>Spezifisch</t>
  </si>
  <si>
    <t>effizienter</t>
  </si>
  <si>
    <t>ineffizienter</t>
  </si>
  <si>
    <t>Hoch</t>
  </si>
  <si>
    <t>Skalierung</t>
  </si>
  <si>
    <t>Skalierung auf</t>
  </si>
  <si>
    <t>Saklierung</t>
  </si>
  <si>
    <r>
      <t xml:space="preserve">steht für das Ausfüllen mit </t>
    </r>
    <r>
      <rPr>
        <b/>
        <sz val="11"/>
        <color theme="1"/>
        <rFont val="Calibri"/>
        <family val="2"/>
        <scheme val="minor"/>
      </rPr>
      <t>eigenen Eingaben</t>
    </r>
  </si>
  <si>
    <t>steht für Drop-Down Felder. Hier stehen verschiedene Möglichkeiten zur Auswahl</t>
  </si>
  <si>
    <t>Orangefarbene Felder stehen für Betriebskosten bzw. -mittel</t>
  </si>
  <si>
    <t>In diesem Tabellenblatt gilt es, die Eingangsdaten zur Berechnung einzugeben.</t>
  </si>
  <si>
    <r>
      <t xml:space="preserve">Hierbei kann eine Auswahl vorgenommen werden, um welches Verfahren es sich handelt. Für </t>
    </r>
    <r>
      <rPr>
        <b/>
        <sz val="11"/>
        <color theme="1"/>
        <rFont val="Calibri"/>
        <family val="2"/>
        <scheme val="minor"/>
      </rPr>
      <t>integrierte Verfahren</t>
    </r>
    <r>
      <rPr>
        <sz val="11"/>
        <color theme="1"/>
        <rFont val="Calibri"/>
        <family val="2"/>
        <scheme val="minor"/>
      </rPr>
      <t xml:space="preserve"> der P-Rückgewinnung gilt "</t>
    </r>
    <r>
      <rPr>
        <b/>
        <sz val="11"/>
        <color theme="1"/>
        <rFont val="Calibri"/>
        <family val="2"/>
        <scheme val="minor"/>
      </rPr>
      <t>Ausbaugrad</t>
    </r>
    <r>
      <rPr>
        <sz val="11"/>
        <color theme="1"/>
        <rFont val="Calibri"/>
        <family val="2"/>
        <scheme val="minor"/>
      </rPr>
      <t xml:space="preserve">", für </t>
    </r>
    <r>
      <rPr>
        <b/>
        <sz val="11"/>
        <color theme="1"/>
        <rFont val="Calibri"/>
        <family val="2"/>
        <scheme val="minor"/>
      </rPr>
      <t>nachgeschaltete Verfahren</t>
    </r>
    <r>
      <rPr>
        <sz val="11"/>
        <color theme="1"/>
        <rFont val="Calibri"/>
        <family val="2"/>
        <scheme val="minor"/>
      </rPr>
      <t xml:space="preserve"> "</t>
    </r>
    <r>
      <rPr>
        <b/>
        <sz val="11"/>
        <color theme="1"/>
        <rFont val="Calibri"/>
        <family val="2"/>
        <scheme val="minor"/>
      </rPr>
      <t>KSA-Menge</t>
    </r>
    <r>
      <rPr>
        <sz val="11"/>
        <color theme="1"/>
        <rFont val="Calibri"/>
        <family val="2"/>
        <scheme val="minor"/>
      </rPr>
      <t>".</t>
    </r>
  </si>
  <si>
    <t>Es gibt die Möglichkeit, bei Interesse die Skalierungsoption zu testen. Investitionskosten werden dabei degressiv und Betriebskosten proportional skaliert.</t>
  </si>
  <si>
    <t>werden in Orientierung an die DIN 276 angegeben. Es ist nicht nötig, die DIN 276 Tabelle exakt auszufüllen. Der Vollständigkeit halber steht die ganze Kostenschätzung nach Ebene 2 jedoch zur Verfügung.</t>
  </si>
  <si>
    <t xml:space="preserve">Es ist auch nicht erforderlich, die Kostenpositionen der KG400 akkurat nach ihren Bezeichnung auszufüllen. Die vorhandenen Einträge können durch eigene Eingaben verändert und angepasst werden. </t>
  </si>
  <si>
    <t>Die Kostengliederung soll nur verdeutlichen, dass Kosten nach KG400 detaillierter erfasst werden sollen.</t>
  </si>
  <si>
    <t>Die vorhandenen Preise für Betriebskosten können durch eigene Angaben ersetzt werden, wenn eigenständige Preisrecherchen durchgeführt worden sind.</t>
  </si>
  <si>
    <r>
      <t xml:space="preserve">Die bereits bestehenden </t>
    </r>
    <r>
      <rPr>
        <b/>
        <sz val="11"/>
        <color theme="1"/>
        <rFont val="Calibri"/>
        <family val="2"/>
        <scheme val="minor"/>
      </rPr>
      <t>Betriebsmittel</t>
    </r>
    <r>
      <rPr>
        <sz val="11"/>
        <color theme="1"/>
        <rFont val="Calibri"/>
        <family val="2"/>
        <scheme val="minor"/>
      </rPr>
      <t xml:space="preserve"> sind exemplarisch gelistet. Auch hier gilt es, </t>
    </r>
    <r>
      <rPr>
        <b/>
        <sz val="11"/>
        <color theme="1"/>
        <rFont val="Calibri"/>
        <family val="2"/>
        <scheme val="minor"/>
      </rPr>
      <t>eigene Angaben</t>
    </r>
    <r>
      <rPr>
        <sz val="11"/>
        <color theme="1"/>
        <rFont val="Calibri"/>
        <family val="2"/>
        <scheme val="minor"/>
      </rPr>
      <t xml:space="preserve"> zu ergänzen bzw. anzupassen.</t>
    </r>
  </si>
  <si>
    <t>sind nicht in dem Tabellenblatt enthalten, sondern ergeben sich aus den Angaben im Tabellenblatt "Randbedingungen".</t>
  </si>
  <si>
    <t>Hier gilt ebenfalls, Angaben (P-Rezyklat, Preis) durch die eigenen Recherchen zu ergänzen bzw. anzupassen.</t>
  </si>
  <si>
    <t>Änderungen zu Versicherungs- und Instandsetzungskosten sind über das Drop-Down Menü vorzunhemen.</t>
  </si>
  <si>
    <t>- Reinvestitionshöhen, die prozentual vom Anfangsinvestitionsbetrag bestimmt werden können</t>
  </si>
  <si>
    <t>- Entsorgungs/Transportkostenbedingungen.</t>
  </si>
  <si>
    <t>Hier werden alle Kosten zusammengefasst.</t>
  </si>
  <si>
    <t>Szenarioanalyse anhand der Schwankungsbreite der Investitionskosten ist möglich.</t>
  </si>
  <si>
    <t>Das Tool baut dabei auf dem Leitfaden auf, der im Rahmen der BMFTR-Fördermaßnahme Regionales Phosphor Recycling (RePhoR) von dem wissenschaftlichen Begleitvorhaben TransPhoR erstellt worden ist.</t>
  </si>
  <si>
    <t>In diesem Tabellenblatt stehen Angaben zu</t>
  </si>
  <si>
    <t>- Änderungsraten für Preisentwicklungen: bei Auswahl von "Allgemein" wird die Preisänderung mit der Inflationsrate geschätzt. Bei Auswahl von "Spezifisch" werden die Preisänderungsraten anhand der Eingaben abgeschätzt.</t>
  </si>
  <si>
    <t>Hier ist es möglich, Kostenentwicklungen anhand unterschiedlicher Variablen und Szenarien zu untersuchen.</t>
  </si>
  <si>
    <t>Die Sensitivitätsanalyse erfolgt dabei durch die (prozentuale) Veränderung von Betriebskosten, Erlösen und Entsorgungs-/Transportkosten.</t>
  </si>
  <si>
    <t>Kalkulationszinssatz und Preisänderungsrate können verändert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</si>
</sst>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-* #,##0.00\ [$€-407]_-;\-* #,##0.00\ [$€-407]_-;_-* &quot;-&quot;??\ [$€-407]_-;_-@_-"/>
    <numFmt numFmtId="166" formatCode="_-* #,##0\ &quot;€&quot;_-;\-* #,##0\ &quot;€&quot;_-;_-* &quot;-&quot;??\ &quot;€&quot;_-;_-@_-"/>
    <numFmt numFmtId="167" formatCode="_-* #,##0_-;\-* #,##0_-;_-* &quot;-&quot;??_-;_-@_-"/>
    <numFmt numFmtId="168" formatCode="0.0%"/>
    <numFmt numFmtId="169" formatCode="_-* #,##0\ &quot;€&quot;_-;\-* #,##0\ &quot;€&quot;_-;_-* &quot;-&quot;?\ &quot;€&quot;_-;_-@_-"/>
    <numFmt numFmtId="170" formatCode="0.000"/>
    <numFmt numFmtId="171" formatCode="0.0000"/>
    <numFmt numFmtId="172" formatCode="0.0"/>
    <numFmt numFmtId="173" formatCode="_-* #,##0\ [$€-407]_-;\-* #,##0\ [$€-407]_-;_-* &quot;-&quot;??\ [$€-407]_-;_-@_-"/>
    <numFmt numFmtId="174" formatCode="#,##0.00\ &quot;€&quot;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Arial"/>
      <family val="2"/>
    </font>
    <font>
      <vertAlign val="subscript"/>
      <sz val="11"/>
      <name val="Arial"/>
      <family val="2"/>
    </font>
    <font>
      <sz val="11"/>
      <color theme="0" tint="-0.34998626667073579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Arial Unicode MS"/>
    </font>
  </fonts>
  <fills count="2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6"/>
        <bgColor theme="6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theme="0" tint="-0.14999847407452621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52">
    <xf numFmtId="0" fontId="0" fillId="0" borderId="0" xfId="0"/>
    <xf numFmtId="0" fontId="0" fillId="5" borderId="14" xfId="0" applyFill="1" applyBorder="1"/>
    <xf numFmtId="0" fontId="0" fillId="5" borderId="15" xfId="0" applyFill="1" applyBorder="1"/>
    <xf numFmtId="0" fontId="0" fillId="5" borderId="16" xfId="0" applyFill="1" applyBorder="1"/>
    <xf numFmtId="0" fontId="0" fillId="0" borderId="7" xfId="0" applyBorder="1"/>
    <xf numFmtId="0" fontId="0" fillId="0" borderId="10" xfId="0" applyBorder="1"/>
    <xf numFmtId="0" fontId="0" fillId="0" borderId="3" xfId="0" applyBorder="1"/>
    <xf numFmtId="0" fontId="0" fillId="0" borderId="4" xfId="0" applyBorder="1"/>
    <xf numFmtId="0" fontId="0" fillId="0" borderId="12" xfId="0" applyBorder="1"/>
    <xf numFmtId="0" fontId="2" fillId="7" borderId="21" xfId="0" applyFont="1" applyFill="1" applyBorder="1"/>
    <xf numFmtId="0" fontId="2" fillId="7" borderId="12" xfId="0" applyFont="1" applyFill="1" applyBorder="1"/>
    <xf numFmtId="0" fontId="2" fillId="7" borderId="22" xfId="0" applyFont="1" applyFill="1" applyBorder="1"/>
    <xf numFmtId="166" fontId="0" fillId="0" borderId="10" xfId="2" applyNumberFormat="1" applyFont="1" applyBorder="1"/>
    <xf numFmtId="166" fontId="0" fillId="0" borderId="9" xfId="2" applyNumberFormat="1" applyFont="1" applyBorder="1"/>
    <xf numFmtId="166" fontId="0" fillId="0" borderId="0" xfId="0" applyNumberFormat="1"/>
    <xf numFmtId="166" fontId="0" fillId="0" borderId="10" xfId="0" applyNumberFormat="1" applyBorder="1"/>
    <xf numFmtId="0" fontId="0" fillId="3" borderId="7" xfId="0" applyFill="1" applyBorder="1"/>
    <xf numFmtId="0" fontId="0" fillId="3" borderId="0" xfId="0" applyFill="1"/>
    <xf numFmtId="0" fontId="0" fillId="3" borderId="10" xfId="0" applyFill="1" applyBorder="1"/>
    <xf numFmtId="10" fontId="0" fillId="0" borderId="10" xfId="3" applyNumberFormat="1" applyFont="1" applyBorder="1"/>
    <xf numFmtId="0" fontId="0" fillId="0" borderId="20" xfId="0" applyBorder="1" applyAlignment="1">
      <alignment horizontal="center" vertical="center"/>
    </xf>
    <xf numFmtId="0" fontId="3" fillId="0" borderId="0" xfId="0" applyFont="1"/>
    <xf numFmtId="0" fontId="0" fillId="0" borderId="23" xfId="0" applyBorder="1"/>
    <xf numFmtId="0" fontId="3" fillId="0" borderId="0" xfId="0" applyFont="1" applyAlignment="1">
      <alignment horizontal="center" vertical="center"/>
    </xf>
    <xf numFmtId="166" fontId="0" fillId="0" borderId="0" xfId="2" applyNumberFormat="1" applyFont="1" applyFill="1" applyBorder="1"/>
    <xf numFmtId="44" fontId="0" fillId="0" borderId="0" xfId="2" applyFont="1" applyFill="1" applyBorder="1"/>
    <xf numFmtId="166" fontId="0" fillId="0" borderId="23" xfId="2" applyNumberFormat="1" applyFont="1" applyFill="1" applyBorder="1"/>
    <xf numFmtId="169" fontId="0" fillId="0" borderId="0" xfId="0" applyNumberFormat="1"/>
    <xf numFmtId="169" fontId="0" fillId="0" borderId="23" xfId="0" applyNumberFormat="1" applyBorder="1"/>
    <xf numFmtId="166" fontId="0" fillId="0" borderId="23" xfId="0" applyNumberFormat="1" applyBorder="1"/>
    <xf numFmtId="8" fontId="0" fillId="0" borderId="0" xfId="0" applyNumberFormat="1"/>
    <xf numFmtId="6" fontId="0" fillId="0" borderId="0" xfId="0" applyNumberFormat="1" applyAlignment="1">
      <alignment vertical="center" wrapText="1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166" fontId="3" fillId="9" borderId="0" xfId="2" applyNumberFormat="1" applyFont="1" applyFill="1" applyBorder="1"/>
    <xf numFmtId="0" fontId="2" fillId="11" borderId="0" xfId="0" applyFont="1" applyFill="1" applyAlignment="1">
      <alignment horizontal="center" vertical="center"/>
    </xf>
    <xf numFmtId="0" fontId="3" fillId="8" borderId="1" xfId="0" applyFont="1" applyFill="1" applyBorder="1" applyAlignment="1">
      <alignment vertical="center"/>
    </xf>
    <xf numFmtId="0" fontId="0" fillId="0" borderId="2" xfId="0" applyBorder="1"/>
    <xf numFmtId="0" fontId="0" fillId="0" borderId="8" xfId="0" applyBorder="1"/>
    <xf numFmtId="0" fontId="0" fillId="8" borderId="7" xfId="0" applyFill="1" applyBorder="1" applyAlignment="1">
      <alignment vertical="center"/>
    </xf>
    <xf numFmtId="0" fontId="0" fillId="8" borderId="7" xfId="0" applyFill="1" applyBorder="1"/>
    <xf numFmtId="166" fontId="0" fillId="0" borderId="10" xfId="2" applyNumberFormat="1" applyFont="1" applyFill="1" applyBorder="1"/>
    <xf numFmtId="0" fontId="3" fillId="8" borderId="7" xfId="0" applyFont="1" applyFill="1" applyBorder="1" applyAlignment="1">
      <alignment vertical="center"/>
    </xf>
    <xf numFmtId="166" fontId="0" fillId="0" borderId="25" xfId="2" applyNumberFormat="1" applyFont="1" applyFill="1" applyBorder="1"/>
    <xf numFmtId="0" fontId="3" fillId="8" borderId="3" xfId="0" applyFont="1" applyFill="1" applyBorder="1"/>
    <xf numFmtId="0" fontId="0" fillId="8" borderId="4" xfId="0" applyFill="1" applyBorder="1"/>
    <xf numFmtId="0" fontId="3" fillId="9" borderId="1" xfId="0" applyFont="1" applyFill="1" applyBorder="1"/>
    <xf numFmtId="0" fontId="0" fillId="9" borderId="7" xfId="0" applyFill="1" applyBorder="1"/>
    <xf numFmtId="169" fontId="0" fillId="0" borderId="10" xfId="0" applyNumberFormat="1" applyBorder="1"/>
    <xf numFmtId="0" fontId="0" fillId="9" borderId="24" xfId="0" applyFill="1" applyBorder="1"/>
    <xf numFmtId="169" fontId="0" fillId="0" borderId="25" xfId="0" applyNumberFormat="1" applyBorder="1"/>
    <xf numFmtId="0" fontId="3" fillId="9" borderId="7" xfId="0" applyFont="1" applyFill="1" applyBorder="1"/>
    <xf numFmtId="166" fontId="3" fillId="9" borderId="10" xfId="2" applyNumberFormat="1" applyFont="1" applyFill="1" applyBorder="1"/>
    <xf numFmtId="0" fontId="3" fillId="9" borderId="3" xfId="0" applyFont="1" applyFill="1" applyBorder="1"/>
    <xf numFmtId="166" fontId="3" fillId="9" borderId="4" xfId="2" applyNumberFormat="1" applyFont="1" applyFill="1" applyBorder="1"/>
    <xf numFmtId="166" fontId="3" fillId="9" borderId="9" xfId="2" applyNumberFormat="1" applyFont="1" applyFill="1" applyBorder="1"/>
    <xf numFmtId="0" fontId="3" fillId="10" borderId="1" xfId="0" applyFont="1" applyFill="1" applyBorder="1"/>
    <xf numFmtId="0" fontId="0" fillId="10" borderId="7" xfId="0" applyFill="1" applyBorder="1"/>
    <xf numFmtId="0" fontId="0" fillId="10" borderId="24" xfId="0" applyFill="1" applyBorder="1"/>
    <xf numFmtId="166" fontId="0" fillId="0" borderId="25" xfId="0" applyNumberFormat="1" applyBorder="1"/>
    <xf numFmtId="0" fontId="3" fillId="10" borderId="3" xfId="0" applyFont="1" applyFill="1" applyBorder="1"/>
    <xf numFmtId="0" fontId="3" fillId="10" borderId="4" xfId="0" applyFont="1" applyFill="1" applyBorder="1"/>
    <xf numFmtId="166" fontId="3" fillId="10" borderId="4" xfId="0" applyNumberFormat="1" applyFont="1" applyFill="1" applyBorder="1"/>
    <xf numFmtId="166" fontId="3" fillId="10" borderId="9" xfId="0" applyNumberFormat="1" applyFont="1" applyFill="1" applyBorder="1"/>
    <xf numFmtId="168" fontId="0" fillId="0" borderId="0" xfId="3" applyNumberFormat="1" applyFont="1" applyFill="1" applyBorder="1" applyAlignment="1">
      <alignment horizontal="center"/>
    </xf>
    <xf numFmtId="168" fontId="0" fillId="0" borderId="23" xfId="3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66" fontId="0" fillId="0" borderId="0" xfId="2" applyNumberFormat="1" applyFon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9" borderId="4" xfId="0" applyFont="1" applyFill="1" applyBorder="1" applyAlignment="1">
      <alignment horizontal="center"/>
    </xf>
    <xf numFmtId="6" fontId="0" fillId="0" borderId="2" xfId="0" applyNumberFormat="1" applyBorder="1"/>
    <xf numFmtId="6" fontId="0" fillId="0" borderId="4" xfId="0" applyNumberFormat="1" applyBorder="1"/>
    <xf numFmtId="0" fontId="3" fillId="12" borderId="1" xfId="0" applyFont="1" applyFill="1" applyBorder="1"/>
    <xf numFmtId="0" fontId="3" fillId="12" borderId="3" xfId="0" applyFont="1" applyFill="1" applyBorder="1"/>
    <xf numFmtId="0" fontId="0" fillId="12" borderId="13" xfId="0" applyFill="1" applyBorder="1"/>
    <xf numFmtId="0" fontId="0" fillId="0" borderId="13" xfId="0" applyBorder="1"/>
    <xf numFmtId="6" fontId="0" fillId="0" borderId="13" xfId="0" applyNumberFormat="1" applyBorder="1"/>
    <xf numFmtId="10" fontId="0" fillId="0" borderId="13" xfId="3" applyNumberFormat="1" applyFont="1" applyFill="1" applyBorder="1"/>
    <xf numFmtId="170" fontId="0" fillId="0" borderId="13" xfId="0" applyNumberFormat="1" applyBorder="1"/>
    <xf numFmtId="0" fontId="0" fillId="3" borderId="11" xfId="0" applyFill="1" applyBorder="1" applyAlignment="1">
      <alignment horizontal="center"/>
    </xf>
    <xf numFmtId="0" fontId="0" fillId="3" borderId="1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9" fontId="0" fillId="0" borderId="0" xfId="3" applyFont="1" applyFill="1" applyBorder="1"/>
    <xf numFmtId="166" fontId="0" fillId="0" borderId="4" xfId="2" applyNumberFormat="1" applyFont="1" applyFill="1" applyBorder="1"/>
    <xf numFmtId="166" fontId="3" fillId="0" borderId="0" xfId="2" applyNumberFormat="1" applyFont="1" applyFill="1" applyBorder="1"/>
    <xf numFmtId="166" fontId="0" fillId="8" borderId="4" xfId="2" applyNumberFormat="1" applyFont="1" applyFill="1" applyBorder="1" applyAlignment="1">
      <alignment horizontal="center"/>
    </xf>
    <xf numFmtId="166" fontId="3" fillId="8" borderId="4" xfId="0" applyNumberFormat="1" applyFont="1" applyFill="1" applyBorder="1"/>
    <xf numFmtId="166" fontId="3" fillId="8" borderId="9" xfId="0" applyNumberFormat="1" applyFont="1" applyFill="1" applyBorder="1"/>
    <xf numFmtId="0" fontId="0" fillId="13" borderId="7" xfId="0" applyFill="1" applyBorder="1"/>
    <xf numFmtId="0" fontId="3" fillId="13" borderId="7" xfId="0" applyFont="1" applyFill="1" applyBorder="1"/>
    <xf numFmtId="0" fontId="0" fillId="13" borderId="24" xfId="0" applyFill="1" applyBorder="1"/>
    <xf numFmtId="0" fontId="3" fillId="13" borderId="3" xfId="0" applyFont="1" applyFill="1" applyBorder="1"/>
    <xf numFmtId="9" fontId="0" fillId="13" borderId="4" xfId="3" applyFont="1" applyFill="1" applyBorder="1" applyAlignment="1">
      <alignment horizontal="center"/>
    </xf>
    <xf numFmtId="0" fontId="0" fillId="13" borderId="4" xfId="0" applyFill="1" applyBorder="1"/>
    <xf numFmtId="166" fontId="3" fillId="13" borderId="4" xfId="2" applyNumberFormat="1" applyFont="1" applyFill="1" applyBorder="1"/>
    <xf numFmtId="0" fontId="3" fillId="13" borderId="1" xfId="0" applyFont="1" applyFill="1" applyBorder="1"/>
    <xf numFmtId="0" fontId="3" fillId="0" borderId="2" xfId="0" applyFont="1" applyBorder="1"/>
    <xf numFmtId="166" fontId="3" fillId="0" borderId="2" xfId="2" applyNumberFormat="1" applyFont="1" applyFill="1" applyBorder="1"/>
    <xf numFmtId="166" fontId="3" fillId="0" borderId="8" xfId="2" applyNumberFormat="1" applyFont="1" applyFill="1" applyBorder="1"/>
    <xf numFmtId="44" fontId="0" fillId="0" borderId="10" xfId="2" applyFont="1" applyBorder="1"/>
    <xf numFmtId="166" fontId="3" fillId="13" borderId="28" xfId="2" applyNumberFormat="1" applyFont="1" applyFill="1" applyBorder="1"/>
    <xf numFmtId="166" fontId="10" fillId="0" borderId="0" xfId="2" applyNumberFormat="1" applyFont="1" applyFill="1" applyBorder="1"/>
    <xf numFmtId="169" fontId="10" fillId="0" borderId="23" xfId="0" applyNumberFormat="1" applyFont="1" applyBorder="1"/>
    <xf numFmtId="166" fontId="11" fillId="9" borderId="0" xfId="2" applyNumberFormat="1" applyFont="1" applyFill="1" applyBorder="1"/>
    <xf numFmtId="166" fontId="10" fillId="0" borderId="23" xfId="2" applyNumberFormat="1" applyFont="1" applyFill="1" applyBorder="1"/>
    <xf numFmtId="166" fontId="11" fillId="9" borderId="4" xfId="2" applyNumberFormat="1" applyFont="1" applyFill="1" applyBorder="1"/>
    <xf numFmtId="166" fontId="10" fillId="0" borderId="0" xfId="0" applyNumberFormat="1" applyFont="1"/>
    <xf numFmtId="166" fontId="11" fillId="13" borderId="4" xfId="2" applyNumberFormat="1" applyFont="1" applyFill="1" applyBorder="1"/>
    <xf numFmtId="166" fontId="11" fillId="10" borderId="4" xfId="0" applyNumberFormat="1" applyFont="1" applyFill="1" applyBorder="1"/>
    <xf numFmtId="167" fontId="0" fillId="0" borderId="9" xfId="1" applyNumberFormat="1" applyFont="1" applyBorder="1"/>
    <xf numFmtId="167" fontId="0" fillId="0" borderId="3" xfId="1" applyNumberFormat="1" applyFont="1" applyBorder="1"/>
    <xf numFmtId="167" fontId="0" fillId="0" borderId="18" xfId="1" applyNumberFormat="1" applyFont="1" applyBorder="1" applyAlignment="1">
      <alignment horizontal="center" vertical="center"/>
    </xf>
    <xf numFmtId="0" fontId="0" fillId="0" borderId="19" xfId="0" applyBorder="1"/>
    <xf numFmtId="167" fontId="0" fillId="0" borderId="14" xfId="1" applyNumberFormat="1" applyFont="1" applyBorder="1"/>
    <xf numFmtId="0" fontId="0" fillId="0" borderId="15" xfId="0" applyBorder="1"/>
    <xf numFmtId="167" fontId="0" fillId="0" borderId="16" xfId="1" applyNumberFormat="1" applyFont="1" applyBorder="1"/>
    <xf numFmtId="166" fontId="0" fillId="0" borderId="2" xfId="2" applyNumberFormat="1" applyFont="1" applyFill="1" applyBorder="1"/>
    <xf numFmtId="166" fontId="0" fillId="0" borderId="8" xfId="2" applyNumberFormat="1" applyFont="1" applyFill="1" applyBorder="1"/>
    <xf numFmtId="0" fontId="0" fillId="14" borderId="4" xfId="0" applyFill="1" applyBorder="1"/>
    <xf numFmtId="166" fontId="0" fillId="14" borderId="4" xfId="2" applyNumberFormat="1" applyFont="1" applyFill="1" applyBorder="1"/>
    <xf numFmtId="166" fontId="0" fillId="14" borderId="9" xfId="2" applyNumberFormat="1" applyFont="1" applyFill="1" applyBorder="1"/>
    <xf numFmtId="166" fontId="0" fillId="0" borderId="2" xfId="0" applyNumberFormat="1" applyBorder="1"/>
    <xf numFmtId="166" fontId="0" fillId="0" borderId="8" xfId="0" applyNumberFormat="1" applyBorder="1"/>
    <xf numFmtId="166" fontId="0" fillId="8" borderId="4" xfId="2" applyNumberFormat="1" applyFont="1" applyFill="1" applyBorder="1"/>
    <xf numFmtId="0" fontId="0" fillId="0" borderId="29" xfId="0" applyBorder="1"/>
    <xf numFmtId="166" fontId="0" fillId="0" borderId="29" xfId="2" applyNumberFormat="1" applyFont="1" applyFill="1" applyBorder="1"/>
    <xf numFmtId="166" fontId="0" fillId="0" borderId="30" xfId="2" applyNumberFormat="1" applyFont="1" applyFill="1" applyBorder="1"/>
    <xf numFmtId="166" fontId="0" fillId="13" borderId="4" xfId="2" applyNumberFormat="1" applyFont="1" applyFill="1" applyBorder="1"/>
    <xf numFmtId="166" fontId="0" fillId="13" borderId="9" xfId="2" applyNumberFormat="1" applyFont="1" applyFill="1" applyBorder="1"/>
    <xf numFmtId="0" fontId="0" fillId="0" borderId="18" xfId="0" applyBorder="1"/>
    <xf numFmtId="0" fontId="0" fillId="0" borderId="20" xfId="0" applyBorder="1"/>
    <xf numFmtId="0" fontId="0" fillId="3" borderId="31" xfId="0" applyFill="1" applyBorder="1" applyAlignment="1">
      <alignment horizontal="center"/>
    </xf>
    <xf numFmtId="167" fontId="0" fillId="0" borderId="0" xfId="1" applyNumberFormat="1" applyFont="1" applyFill="1" applyBorder="1"/>
    <xf numFmtId="166" fontId="0" fillId="0" borderId="2" xfId="0" applyNumberFormat="1" applyBorder="1" applyAlignment="1">
      <alignment wrapText="1"/>
    </xf>
    <xf numFmtId="44" fontId="0" fillId="0" borderId="0" xfId="2" applyFont="1" applyBorder="1"/>
    <xf numFmtId="167" fontId="0" fillId="0" borderId="0" xfId="1" applyNumberFormat="1" applyFont="1" applyBorder="1"/>
    <xf numFmtId="0" fontId="4" fillId="0" borderId="17" xfId="0" applyFont="1" applyBorder="1"/>
    <xf numFmtId="0" fontId="4" fillId="0" borderId="13" xfId="0" applyFont="1" applyBorder="1"/>
    <xf numFmtId="0" fontId="0" fillId="0" borderId="0" xfId="0" applyBorder="1"/>
    <xf numFmtId="166" fontId="0" fillId="0" borderId="0" xfId="0" applyNumberFormat="1" applyBorder="1"/>
    <xf numFmtId="0" fontId="0" fillId="8" borderId="1" xfId="0" applyFill="1" applyBorder="1" applyAlignment="1">
      <alignment vertical="center"/>
    </xf>
    <xf numFmtId="0" fontId="0" fillId="8" borderId="3" xfId="0" applyFill="1" applyBorder="1" applyAlignment="1">
      <alignment vertical="center"/>
    </xf>
    <xf numFmtId="0" fontId="0" fillId="0" borderId="0" xfId="0" applyFill="1" applyBorder="1"/>
    <xf numFmtId="0" fontId="0" fillId="0" borderId="19" xfId="0" applyFill="1" applyBorder="1"/>
    <xf numFmtId="0" fontId="3" fillId="8" borderId="7" xfId="0" applyFont="1" applyFill="1" applyBorder="1"/>
    <xf numFmtId="0" fontId="0" fillId="0" borderId="0" xfId="0" applyFill="1"/>
    <xf numFmtId="0" fontId="0" fillId="0" borderId="7" xfId="0" applyFill="1" applyBorder="1"/>
    <xf numFmtId="0" fontId="3" fillId="0" borderId="18" xfId="0" applyFont="1" applyBorder="1" applyAlignment="1">
      <alignment horizontal="centerContinuous" vertical="center"/>
    </xf>
    <xf numFmtId="0" fontId="3" fillId="0" borderId="19" xfId="0" applyFont="1" applyBorder="1" applyAlignment="1">
      <alignment horizontal="centerContinuous" vertical="center"/>
    </xf>
    <xf numFmtId="0" fontId="3" fillId="0" borderId="20" xfId="0" applyFont="1" applyBorder="1" applyAlignment="1">
      <alignment horizontal="centerContinuous" vertical="center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0" xfId="0" applyBorder="1" applyAlignment="1">
      <alignment horizontal="right"/>
    </xf>
    <xf numFmtId="167" fontId="0" fillId="0" borderId="36" xfId="1" applyNumberFormat="1" applyFont="1" applyBorder="1" applyAlignment="1">
      <alignment horizontal="right"/>
    </xf>
    <xf numFmtId="167" fontId="0" fillId="0" borderId="37" xfId="1" applyNumberFormat="1" applyFont="1" applyBorder="1" applyAlignment="1">
      <alignment horizontal="right"/>
    </xf>
    <xf numFmtId="167" fontId="0" fillId="0" borderId="0" xfId="1" applyNumberFormat="1" applyFont="1" applyBorder="1" applyAlignment="1">
      <alignment horizontal="right"/>
    </xf>
    <xf numFmtId="167" fontId="0" fillId="0" borderId="0" xfId="1" applyNumberFormat="1" applyFont="1" applyFill="1" applyBorder="1" applyAlignment="1">
      <alignment horizontal="right"/>
    </xf>
    <xf numFmtId="0" fontId="3" fillId="0" borderId="18" xfId="0" applyFont="1" applyFill="1" applyBorder="1" applyAlignment="1">
      <alignment horizontal="centerContinuous"/>
    </xf>
    <xf numFmtId="0" fontId="0" fillId="0" borderId="19" xfId="0" applyBorder="1" applyAlignment="1">
      <alignment horizontal="centerContinuous"/>
    </xf>
    <xf numFmtId="167" fontId="0" fillId="0" borderId="19" xfId="1" applyNumberFormat="1" applyFont="1" applyFill="1" applyBorder="1" applyAlignment="1">
      <alignment horizontal="centerContinuous"/>
    </xf>
    <xf numFmtId="0" fontId="0" fillId="0" borderId="20" xfId="0" applyBorder="1" applyAlignment="1">
      <alignment horizontal="centerContinuous"/>
    </xf>
    <xf numFmtId="172" fontId="0" fillId="0" borderId="0" xfId="0" applyNumberFormat="1" applyBorder="1"/>
    <xf numFmtId="0" fontId="0" fillId="0" borderId="0" xfId="0" applyFill="1" applyAlignment="1">
      <alignment horizontal="left"/>
    </xf>
    <xf numFmtId="166" fontId="0" fillId="0" borderId="0" xfId="0" applyNumberFormat="1" applyFill="1"/>
    <xf numFmtId="0" fontId="0" fillId="0" borderId="10" xfId="0" applyFill="1" applyBorder="1"/>
    <xf numFmtId="0" fontId="4" fillId="0" borderId="33" xfId="0" applyFont="1" applyBorder="1"/>
    <xf numFmtId="166" fontId="0" fillId="0" borderId="9" xfId="2" applyNumberFormat="1" applyFont="1" applyFill="1" applyBorder="1"/>
    <xf numFmtId="166" fontId="0" fillId="6" borderId="9" xfId="0" applyNumberFormat="1" applyFill="1" applyBorder="1"/>
    <xf numFmtId="0" fontId="3" fillId="16" borderId="1" xfId="0" applyFont="1" applyFill="1" applyBorder="1" applyAlignment="1">
      <alignment horizontal="centerContinuous"/>
    </xf>
    <xf numFmtId="0" fontId="3" fillId="16" borderId="2" xfId="0" applyFont="1" applyFill="1" applyBorder="1" applyAlignment="1">
      <alignment horizontal="centerContinuous"/>
    </xf>
    <xf numFmtId="0" fontId="3" fillId="16" borderId="8" xfId="0" applyFont="1" applyFill="1" applyBorder="1" applyAlignment="1">
      <alignment horizontal="centerContinuous"/>
    </xf>
    <xf numFmtId="0" fontId="3" fillId="10" borderId="18" xfId="0" applyFont="1" applyFill="1" applyBorder="1" applyAlignment="1">
      <alignment horizontal="centerContinuous" vertical="center"/>
    </xf>
    <xf numFmtId="0" fontId="3" fillId="10" borderId="19" xfId="0" applyFont="1" applyFill="1" applyBorder="1" applyAlignment="1">
      <alignment horizontal="centerContinuous" vertical="center"/>
    </xf>
    <xf numFmtId="0" fontId="3" fillId="10" borderId="20" xfId="0" applyFont="1" applyFill="1" applyBorder="1" applyAlignment="1">
      <alignment horizontal="centerContinuous" vertical="center"/>
    </xf>
    <xf numFmtId="0" fontId="0" fillId="0" borderId="0" xfId="0" applyBorder="1" applyAlignment="1">
      <alignment horizontal="center"/>
    </xf>
    <xf numFmtId="0" fontId="0" fillId="3" borderId="0" xfId="0" applyFill="1" applyBorder="1"/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4" xfId="0" applyBorder="1" applyAlignment="1">
      <alignment horizontal="left" indent="4"/>
    </xf>
    <xf numFmtId="0" fontId="0" fillId="0" borderId="45" xfId="0" applyBorder="1"/>
    <xf numFmtId="0" fontId="0" fillId="0" borderId="46" xfId="0" applyBorder="1" applyAlignment="1">
      <alignment horizontal="left"/>
    </xf>
    <xf numFmtId="0" fontId="0" fillId="0" borderId="46" xfId="0" applyBorder="1"/>
    <xf numFmtId="10" fontId="0" fillId="0" borderId="47" xfId="3" applyNumberFormat="1" applyFont="1" applyBorder="1"/>
    <xf numFmtId="0" fontId="0" fillId="0" borderId="47" xfId="0" applyBorder="1"/>
    <xf numFmtId="0" fontId="0" fillId="0" borderId="0" xfId="2" applyNumberFormat="1" applyFont="1" applyFill="1" applyBorder="1"/>
    <xf numFmtId="0" fontId="0" fillId="0" borderId="0" xfId="0" applyFill="1" applyBorder="1" applyAlignment="1">
      <alignment horizontal="center"/>
    </xf>
    <xf numFmtId="9" fontId="0" fillId="0" borderId="0" xfId="3" applyNumberFormat="1" applyFont="1" applyFill="1" applyBorder="1"/>
    <xf numFmtId="10" fontId="0" fillId="0" borderId="0" xfId="3" applyNumberFormat="1" applyFont="1" applyFill="1" applyBorder="1"/>
    <xf numFmtId="165" fontId="4" fillId="0" borderId="20" xfId="4" applyNumberFormat="1" applyFont="1" applyFill="1" applyBorder="1"/>
    <xf numFmtId="166" fontId="0" fillId="0" borderId="4" xfId="0" applyNumberFormat="1" applyBorder="1"/>
    <xf numFmtId="166" fontId="0" fillId="0" borderId="9" xfId="0" applyNumberFormat="1" applyBorder="1"/>
    <xf numFmtId="0" fontId="0" fillId="3" borderId="31" xfId="0" applyFill="1" applyBorder="1" applyAlignment="1">
      <alignment horizontal="center" wrapText="1"/>
    </xf>
    <xf numFmtId="167" fontId="0" fillId="0" borderId="0" xfId="1" applyNumberFormat="1" applyFont="1"/>
    <xf numFmtId="172" fontId="0" fillId="0" borderId="2" xfId="0" applyNumberFormat="1" applyBorder="1"/>
    <xf numFmtId="172" fontId="0" fillId="0" borderId="0" xfId="0" applyNumberFormat="1"/>
    <xf numFmtId="172" fontId="0" fillId="0" borderId="23" xfId="0" applyNumberFormat="1" applyBorder="1"/>
    <xf numFmtId="172" fontId="0" fillId="14" borderId="4" xfId="0" applyNumberFormat="1" applyFill="1" applyBorder="1"/>
    <xf numFmtId="172" fontId="0" fillId="0" borderId="29" xfId="0" applyNumberFormat="1" applyBorder="1"/>
    <xf numFmtId="172" fontId="0" fillId="13" borderId="4" xfId="0" applyNumberFormat="1" applyFill="1" applyBorder="1"/>
    <xf numFmtId="168" fontId="0" fillId="0" borderId="0" xfId="0" applyNumberFormat="1" applyAlignment="1">
      <alignment horizontal="center"/>
    </xf>
    <xf numFmtId="168" fontId="0" fillId="0" borderId="23" xfId="0" applyNumberFormat="1" applyBorder="1" applyAlignment="1">
      <alignment horizontal="center"/>
    </xf>
    <xf numFmtId="0" fontId="3" fillId="0" borderId="0" xfId="0" applyFont="1" applyFill="1" applyBorder="1"/>
    <xf numFmtId="166" fontId="3" fillId="0" borderId="0" xfId="0" applyNumberFormat="1" applyFont="1" applyFill="1" applyBorder="1"/>
    <xf numFmtId="166" fontId="0" fillId="0" borderId="0" xfId="2" applyNumberFormat="1" applyFont="1"/>
    <xf numFmtId="0" fontId="0" fillId="0" borderId="2" xfId="0" applyBorder="1" applyAlignment="1">
      <alignment horizontal="center"/>
    </xf>
    <xf numFmtId="6" fontId="0" fillId="0" borderId="0" xfId="0" applyNumberFormat="1"/>
    <xf numFmtId="0" fontId="0" fillId="0" borderId="1" xfId="0" applyBorder="1"/>
    <xf numFmtId="0" fontId="3" fillId="3" borderId="0" xfId="0" applyFont="1" applyFill="1" applyBorder="1"/>
    <xf numFmtId="0" fontId="0" fillId="0" borderId="9" xfId="0" applyBorder="1"/>
    <xf numFmtId="0" fontId="0" fillId="0" borderId="10" xfId="0" applyBorder="1" applyAlignment="1">
      <alignment horizontal="centerContinuous"/>
    </xf>
    <xf numFmtId="167" fontId="0" fillId="0" borderId="10" xfId="1" applyNumberFormat="1" applyFont="1" applyFill="1" applyBorder="1" applyAlignment="1">
      <alignment horizontal="right"/>
    </xf>
    <xf numFmtId="167" fontId="0" fillId="0" borderId="10" xfId="1" applyNumberFormat="1" applyFont="1" applyBorder="1" applyAlignment="1">
      <alignment horizontal="right"/>
    </xf>
    <xf numFmtId="0" fontId="0" fillId="0" borderId="48" xfId="0" applyBorder="1"/>
    <xf numFmtId="6" fontId="0" fillId="0" borderId="35" xfId="0" applyNumberFormat="1" applyBorder="1"/>
    <xf numFmtId="0" fontId="0" fillId="0" borderId="50" xfId="0" applyBorder="1"/>
    <xf numFmtId="6" fontId="0" fillId="0" borderId="36" xfId="0" applyNumberFormat="1" applyBorder="1"/>
    <xf numFmtId="0" fontId="0" fillId="0" borderId="52" xfId="0" applyBorder="1"/>
    <xf numFmtId="6" fontId="0" fillId="0" borderId="37" xfId="0" applyNumberFormat="1" applyBorder="1"/>
    <xf numFmtId="0" fontId="3" fillId="0" borderId="53" xfId="0" applyFont="1" applyBorder="1"/>
    <xf numFmtId="6" fontId="0" fillId="0" borderId="54" xfId="0" applyNumberFormat="1" applyBorder="1"/>
    <xf numFmtId="0" fontId="0" fillId="0" borderId="0" xfId="0" applyAlignment="1">
      <alignment horizontal="centerContinuous"/>
    </xf>
    <xf numFmtId="0" fontId="3" fillId="0" borderId="0" xfId="0" applyFont="1" applyAlignment="1">
      <alignment horizontal="centerContinuous" vertical="top"/>
    </xf>
    <xf numFmtId="0" fontId="0" fillId="12" borderId="18" xfId="0" applyFill="1" applyBorder="1"/>
    <xf numFmtId="171" fontId="0" fillId="0" borderId="19" xfId="0" applyNumberFormat="1" applyBorder="1"/>
    <xf numFmtId="0" fontId="3" fillId="0" borderId="20" xfId="0" applyFont="1" applyBorder="1"/>
    <xf numFmtId="0" fontId="0" fillId="0" borderId="2" xfId="0" applyBorder="1" applyAlignment="1">
      <alignment horizontal="center"/>
    </xf>
    <xf numFmtId="0" fontId="0" fillId="0" borderId="4" xfId="0" applyFill="1" applyBorder="1"/>
    <xf numFmtId="0" fontId="0" fillId="0" borderId="53" xfId="0" applyFill="1" applyBorder="1"/>
    <xf numFmtId="44" fontId="0" fillId="0" borderId="9" xfId="2" applyFont="1" applyBorder="1"/>
    <xf numFmtId="0" fontId="2" fillId="18" borderId="18" xfId="0" applyFont="1" applyFill="1" applyBorder="1" applyAlignment="1">
      <alignment horizontal="centerContinuous"/>
    </xf>
    <xf numFmtId="0" fontId="3" fillId="18" borderId="19" xfId="0" applyFont="1" applyFill="1" applyBorder="1" applyAlignment="1">
      <alignment horizontal="centerContinuous" vertical="top"/>
    </xf>
    <xf numFmtId="0" fontId="0" fillId="18" borderId="19" xfId="0" applyFill="1" applyBorder="1" applyAlignment="1">
      <alignment horizontal="centerContinuous"/>
    </xf>
    <xf numFmtId="0" fontId="3" fillId="3" borderId="18" xfId="0" applyFont="1" applyFill="1" applyBorder="1"/>
    <xf numFmtId="0" fontId="3" fillId="3" borderId="20" xfId="0" applyFont="1" applyFill="1" applyBorder="1"/>
    <xf numFmtId="0" fontId="0" fillId="4" borderId="1" xfId="0" applyFill="1" applyBorder="1"/>
    <xf numFmtId="0" fontId="0" fillId="4" borderId="8" xfId="0" applyFill="1" applyBorder="1"/>
    <xf numFmtId="0" fontId="0" fillId="9" borderId="1" xfId="0" applyFill="1" applyBorder="1"/>
    <xf numFmtId="44" fontId="0" fillId="9" borderId="8" xfId="2" applyFont="1" applyFill="1" applyBorder="1"/>
    <xf numFmtId="0" fontId="0" fillId="10" borderId="1" xfId="0" applyFill="1" applyBorder="1"/>
    <xf numFmtId="44" fontId="0" fillId="10" borderId="8" xfId="2" applyFont="1" applyFill="1" applyBorder="1"/>
    <xf numFmtId="9" fontId="0" fillId="0" borderId="20" xfId="3" applyFont="1" applyFill="1" applyBorder="1"/>
    <xf numFmtId="0" fontId="0" fillId="0" borderId="3" xfId="0" applyFill="1" applyBorder="1"/>
    <xf numFmtId="0" fontId="0" fillId="12" borderId="0" xfId="0" applyFill="1" applyBorder="1"/>
    <xf numFmtId="0" fontId="0" fillId="0" borderId="0" xfId="0" applyNumberFormat="1"/>
    <xf numFmtId="0" fontId="0" fillId="0" borderId="5" xfId="0" applyBorder="1"/>
    <xf numFmtId="0" fontId="0" fillId="0" borderId="53" xfId="0" applyBorder="1"/>
    <xf numFmtId="9" fontId="0" fillId="0" borderId="0" xfId="3" applyFont="1"/>
    <xf numFmtId="0" fontId="0" fillId="0" borderId="56" xfId="0" applyBorder="1"/>
    <xf numFmtId="0" fontId="0" fillId="15" borderId="56" xfId="0" applyFill="1" applyBorder="1"/>
    <xf numFmtId="0" fontId="3" fillId="0" borderId="18" xfId="0" applyFont="1" applyBorder="1"/>
    <xf numFmtId="0" fontId="3" fillId="0" borderId="19" xfId="0" applyFont="1" applyBorder="1" applyAlignment="1">
      <alignment horizontal="center"/>
    </xf>
    <xf numFmtId="0" fontId="3" fillId="0" borderId="20" xfId="0" quotePrefix="1" applyFont="1" applyBorder="1" applyAlignment="1">
      <alignment horizontal="center"/>
    </xf>
    <xf numFmtId="0" fontId="3" fillId="0" borderId="18" xfId="0" applyFont="1" applyBorder="1" applyAlignment="1">
      <alignment horizontal="centerContinuous"/>
    </xf>
    <xf numFmtId="0" fontId="3" fillId="3" borderId="55" xfId="0" applyFont="1" applyFill="1" applyBorder="1"/>
    <xf numFmtId="166" fontId="0" fillId="0" borderId="20" xfId="2" applyNumberFormat="1" applyFont="1" applyBorder="1"/>
    <xf numFmtId="166" fontId="11" fillId="0" borderId="0" xfId="0" applyNumberFormat="1" applyFont="1" applyFill="1" applyBorder="1"/>
    <xf numFmtId="166" fontId="0" fillId="0" borderId="5" xfId="2" applyNumberFormat="1" applyFont="1" applyBorder="1"/>
    <xf numFmtId="9" fontId="0" fillId="0" borderId="5" xfId="3" applyFont="1" applyBorder="1"/>
    <xf numFmtId="166" fontId="0" fillId="0" borderId="5" xfId="0" applyNumberFormat="1" applyBorder="1"/>
    <xf numFmtId="9" fontId="0" fillId="0" borderId="5" xfId="3" applyFont="1" applyFill="1" applyBorder="1"/>
    <xf numFmtId="166" fontId="0" fillId="0" borderId="56" xfId="2" applyNumberFormat="1" applyFont="1" applyBorder="1"/>
    <xf numFmtId="9" fontId="0" fillId="0" borderId="56" xfId="3" applyFont="1" applyBorder="1"/>
    <xf numFmtId="0" fontId="0" fillId="17" borderId="18" xfId="0" applyFill="1" applyBorder="1"/>
    <xf numFmtId="166" fontId="0" fillId="0" borderId="20" xfId="2" applyNumberFormat="1" applyFont="1" applyFill="1" applyBorder="1"/>
    <xf numFmtId="174" fontId="2" fillId="19" borderId="18" xfId="0" applyNumberFormat="1" applyFont="1" applyFill="1" applyBorder="1" applyAlignment="1">
      <alignment horizontal="centerContinuous"/>
    </xf>
    <xf numFmtId="0" fontId="2" fillId="19" borderId="19" xfId="0" applyFont="1" applyFill="1" applyBorder="1" applyAlignment="1">
      <alignment horizontal="centerContinuous"/>
    </xf>
    <xf numFmtId="174" fontId="2" fillId="20" borderId="18" xfId="0" applyNumberFormat="1" applyFont="1" applyFill="1" applyBorder="1" applyAlignment="1">
      <alignment horizontal="centerContinuous"/>
    </xf>
    <xf numFmtId="0" fontId="2" fillId="20" borderId="19" xfId="0" applyFont="1" applyFill="1" applyBorder="1" applyAlignment="1">
      <alignment horizontal="centerContinuous"/>
    </xf>
    <xf numFmtId="8" fontId="0" fillId="0" borderId="5" xfId="0" applyNumberFormat="1" applyBorder="1"/>
    <xf numFmtId="8" fontId="0" fillId="0" borderId="49" xfId="0" applyNumberFormat="1" applyBorder="1"/>
    <xf numFmtId="8" fontId="0" fillId="0" borderId="38" xfId="0" applyNumberFormat="1" applyBorder="1"/>
    <xf numFmtId="8" fontId="0" fillId="0" borderId="57" xfId="0" applyNumberFormat="1" applyBorder="1"/>
    <xf numFmtId="0" fontId="0" fillId="0" borderId="0" xfId="0" applyNumberFormat="1" applyFill="1"/>
    <xf numFmtId="0" fontId="0" fillId="0" borderId="58" xfId="0" applyFill="1" applyBorder="1"/>
    <xf numFmtId="0" fontId="0" fillId="21" borderId="5" xfId="0" applyFill="1" applyBorder="1"/>
    <xf numFmtId="0" fontId="0" fillId="8" borderId="19" xfId="0" applyFill="1" applyBorder="1"/>
    <xf numFmtId="0" fontId="3" fillId="8" borderId="18" xfId="0" applyFont="1" applyFill="1" applyBorder="1" applyAlignment="1">
      <alignment horizontal="left" vertical="center" indent="1"/>
    </xf>
    <xf numFmtId="0" fontId="3" fillId="8" borderId="18" xfId="0" applyFont="1" applyFill="1" applyBorder="1" applyAlignment="1">
      <alignment horizontal="centerContinuous" vertical="center"/>
    </xf>
    <xf numFmtId="0" fontId="3" fillId="8" borderId="19" xfId="0" applyFont="1" applyFill="1" applyBorder="1" applyAlignment="1">
      <alignment horizontal="centerContinuous" vertical="center"/>
    </xf>
    <xf numFmtId="0" fontId="3" fillId="8" borderId="20" xfId="0" applyFont="1" applyFill="1" applyBorder="1" applyAlignment="1">
      <alignment horizontal="centerContinuous" vertical="center"/>
    </xf>
    <xf numFmtId="0" fontId="3" fillId="14" borderId="1" xfId="0" applyFont="1" applyFill="1" applyBorder="1" applyAlignment="1">
      <alignment horizontal="centerContinuous" vertical="center"/>
    </xf>
    <xf numFmtId="0" fontId="3" fillId="14" borderId="2" xfId="0" applyFont="1" applyFill="1" applyBorder="1" applyAlignment="1">
      <alignment horizontal="centerContinuous" vertical="center"/>
    </xf>
    <xf numFmtId="0" fontId="3" fillId="14" borderId="8" xfId="0" applyFont="1" applyFill="1" applyBorder="1" applyAlignment="1">
      <alignment horizontal="centerContinuous" vertical="center"/>
    </xf>
    <xf numFmtId="0" fontId="0" fillId="22" borderId="4" xfId="0" applyFill="1" applyBorder="1"/>
    <xf numFmtId="166" fontId="0" fillId="22" borderId="4" xfId="2" applyNumberFormat="1" applyFont="1" applyFill="1" applyBorder="1"/>
    <xf numFmtId="166" fontId="0" fillId="22" borderId="9" xfId="2" applyNumberFormat="1" applyFont="1" applyFill="1" applyBorder="1"/>
    <xf numFmtId="0" fontId="0" fillId="8" borderId="5" xfId="0" applyFill="1" applyBorder="1"/>
    <xf numFmtId="0" fontId="0" fillId="14" borderId="5" xfId="0" applyFill="1" applyBorder="1"/>
    <xf numFmtId="0" fontId="0" fillId="22" borderId="5" xfId="0" applyFill="1" applyBorder="1"/>
    <xf numFmtId="0" fontId="0" fillId="17" borderId="5" xfId="0" applyFill="1" applyBorder="1"/>
    <xf numFmtId="0" fontId="0" fillId="23" borderId="5" xfId="0" applyFill="1" applyBorder="1"/>
    <xf numFmtId="0" fontId="0" fillId="0" borderId="59" xfId="0" applyBorder="1"/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0" fontId="3" fillId="0" borderId="0" xfId="0" applyFont="1" applyBorder="1"/>
    <xf numFmtId="0" fontId="0" fillId="8" borderId="0" xfId="0" applyFill="1" applyBorder="1"/>
    <xf numFmtId="0" fontId="0" fillId="14" borderId="0" xfId="0" applyFill="1" applyBorder="1"/>
    <xf numFmtId="0" fontId="0" fillId="22" borderId="0" xfId="0" applyFill="1" applyBorder="1"/>
    <xf numFmtId="0" fontId="0" fillId="17" borderId="0" xfId="0" applyFill="1" applyBorder="1"/>
    <xf numFmtId="0" fontId="0" fillId="0" borderId="0" xfId="0" quotePrefix="1" applyBorder="1"/>
    <xf numFmtId="0" fontId="0" fillId="0" borderId="64" xfId="0" applyBorder="1"/>
    <xf numFmtId="0" fontId="0" fillId="0" borderId="65" xfId="0" applyBorder="1"/>
    <xf numFmtId="0" fontId="0" fillId="0" borderId="66" xfId="0" applyBorder="1"/>
    <xf numFmtId="0" fontId="0" fillId="0" borderId="19" xfId="0" applyBorder="1" applyAlignment="1">
      <alignment wrapText="1"/>
    </xf>
    <xf numFmtId="0" fontId="3" fillId="0" borderId="19" xfId="0" applyFont="1" applyBorder="1" applyAlignment="1">
      <alignment horizontal="center" vertical="center" wrapText="1"/>
    </xf>
    <xf numFmtId="0" fontId="0" fillId="0" borderId="18" xfId="0" applyBorder="1" applyAlignment="1">
      <alignment vertical="center"/>
    </xf>
    <xf numFmtId="0" fontId="0" fillId="0" borderId="20" xfId="0" applyBorder="1" applyAlignment="1">
      <alignment vertical="center"/>
    </xf>
    <xf numFmtId="0" fontId="3" fillId="0" borderId="19" xfId="0" applyFont="1" applyFill="1" applyBorder="1" applyAlignment="1">
      <alignment horizontal="left"/>
    </xf>
    <xf numFmtId="165" fontId="3" fillId="0" borderId="19" xfId="4" applyNumberFormat="1" applyFont="1" applyFill="1" applyBorder="1"/>
    <xf numFmtId="0" fontId="0" fillId="0" borderId="18" xfId="0" applyFont="1" applyBorder="1"/>
    <xf numFmtId="0" fontId="3" fillId="0" borderId="18" xfId="0" applyFont="1" applyFill="1" applyBorder="1"/>
    <xf numFmtId="0" fontId="0" fillId="0" borderId="67" xfId="0" applyBorder="1"/>
    <xf numFmtId="44" fontId="0" fillId="0" borderId="31" xfId="2" applyFont="1" applyBorder="1"/>
    <xf numFmtId="0" fontId="0" fillId="0" borderId="68" xfId="0" applyBorder="1"/>
    <xf numFmtId="44" fontId="0" fillId="0" borderId="69" xfId="2" applyFont="1" applyBorder="1"/>
    <xf numFmtId="0" fontId="0" fillId="0" borderId="44" xfId="0" applyFill="1" applyBorder="1"/>
    <xf numFmtId="44" fontId="0" fillId="0" borderId="70" xfId="2" applyFont="1" applyBorder="1"/>
    <xf numFmtId="44" fontId="0" fillId="0" borderId="0" xfId="2" applyNumberFormat="1" applyFont="1" applyFill="1" applyBorder="1"/>
    <xf numFmtId="167" fontId="0" fillId="21" borderId="36" xfId="1" applyNumberFormat="1" applyFont="1" applyFill="1" applyBorder="1" applyProtection="1">
      <protection locked="0"/>
    </xf>
    <xf numFmtId="167" fontId="0" fillId="21" borderId="37" xfId="1" applyNumberFormat="1" applyFont="1" applyFill="1" applyBorder="1" applyProtection="1">
      <protection locked="0"/>
    </xf>
    <xf numFmtId="0" fontId="0" fillId="15" borderId="54" xfId="0" applyFill="1" applyBorder="1" applyProtection="1">
      <protection locked="0"/>
    </xf>
    <xf numFmtId="0" fontId="0" fillId="15" borderId="49" xfId="0" applyFill="1" applyBorder="1" applyProtection="1">
      <protection locked="0"/>
    </xf>
    <xf numFmtId="167" fontId="0" fillId="15" borderId="5" xfId="1" applyNumberFormat="1" applyFont="1" applyFill="1" applyBorder="1" applyProtection="1">
      <protection locked="0"/>
    </xf>
    <xf numFmtId="167" fontId="0" fillId="15" borderId="36" xfId="1" applyNumberFormat="1" applyFont="1" applyFill="1" applyBorder="1" applyProtection="1">
      <protection locked="0"/>
    </xf>
    <xf numFmtId="173" fontId="0" fillId="21" borderId="37" xfId="4" applyNumberFormat="1" applyFont="1" applyFill="1" applyBorder="1" applyProtection="1">
      <protection locked="0"/>
    </xf>
    <xf numFmtId="173" fontId="0" fillId="21" borderId="43" xfId="4" applyNumberFormat="1" applyFont="1" applyFill="1" applyBorder="1" applyProtection="1">
      <protection locked="0"/>
    </xf>
    <xf numFmtId="173" fontId="0" fillId="21" borderId="40" xfId="4" applyNumberFormat="1" applyFont="1" applyFill="1" applyBorder="1" applyProtection="1">
      <protection locked="0"/>
    </xf>
    <xf numFmtId="167" fontId="0" fillId="15" borderId="54" xfId="1" applyNumberFormat="1" applyFont="1" applyFill="1" applyBorder="1" applyProtection="1">
      <protection locked="0"/>
    </xf>
    <xf numFmtId="166" fontId="0" fillId="21" borderId="54" xfId="2" applyNumberFormat="1" applyFont="1" applyFill="1" applyBorder="1" applyProtection="1">
      <protection locked="0"/>
    </xf>
    <xf numFmtId="167" fontId="0" fillId="21" borderId="5" xfId="1" applyNumberFormat="1" applyFont="1" applyFill="1" applyBorder="1" applyProtection="1">
      <protection locked="0"/>
    </xf>
    <xf numFmtId="167" fontId="0" fillId="21" borderId="39" xfId="1" applyNumberFormat="1" applyFont="1" applyFill="1" applyBorder="1" applyProtection="1">
      <protection locked="0"/>
    </xf>
    <xf numFmtId="44" fontId="0" fillId="21" borderId="0" xfId="2" applyFont="1" applyFill="1" applyBorder="1" applyProtection="1">
      <protection locked="0"/>
    </xf>
    <xf numFmtId="44" fontId="0" fillId="21" borderId="4" xfId="2" applyFont="1" applyFill="1" applyBorder="1" applyProtection="1">
      <protection locked="0"/>
    </xf>
    <xf numFmtId="44" fontId="0" fillId="21" borderId="0" xfId="2" applyNumberFormat="1" applyFont="1" applyFill="1" applyBorder="1" applyProtection="1">
      <protection locked="0"/>
    </xf>
    <xf numFmtId="9" fontId="0" fillId="15" borderId="5" xfId="3" applyFont="1" applyFill="1" applyBorder="1" applyProtection="1">
      <protection locked="0"/>
    </xf>
    <xf numFmtId="9" fontId="0" fillId="15" borderId="38" xfId="3" applyFont="1" applyFill="1" applyBorder="1" applyProtection="1">
      <protection locked="0"/>
    </xf>
    <xf numFmtId="167" fontId="0" fillId="21" borderId="38" xfId="1" applyNumberFormat="1" applyFont="1" applyFill="1" applyBorder="1" applyProtection="1">
      <protection locked="0"/>
    </xf>
    <xf numFmtId="166" fontId="0" fillId="21" borderId="0" xfId="2" applyNumberFormat="1" applyFont="1" applyFill="1" applyBorder="1" applyProtection="1">
      <protection locked="0"/>
    </xf>
    <xf numFmtId="166" fontId="0" fillId="24" borderId="4" xfId="2" applyNumberFormat="1" applyFont="1" applyFill="1" applyBorder="1" applyProtection="1">
      <protection locked="0"/>
    </xf>
    <xf numFmtId="0" fontId="0" fillId="0" borderId="7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165" fontId="7" fillId="21" borderId="34" xfId="4" applyNumberFormat="1" applyFont="1" applyFill="1" applyBorder="1" applyProtection="1">
      <protection locked="0"/>
    </xf>
    <xf numFmtId="165" fontId="7" fillId="21" borderId="10" xfId="4" applyNumberFormat="1" applyFont="1" applyFill="1" applyBorder="1" applyProtection="1">
      <protection locked="0"/>
    </xf>
    <xf numFmtId="165" fontId="7" fillId="21" borderId="10" xfId="4" applyNumberFormat="1" applyFont="1" applyFill="1" applyBorder="1" applyAlignment="1" applyProtection="1">
      <alignment horizontal="left"/>
      <protection locked="0"/>
    </xf>
    <xf numFmtId="165" fontId="7" fillId="21" borderId="10" xfId="4" applyNumberFormat="1" applyFont="1" applyFill="1" applyBorder="1" applyAlignment="1" applyProtection="1">
      <alignment horizontal="center"/>
      <protection locked="0"/>
    </xf>
    <xf numFmtId="165" fontId="7" fillId="21" borderId="34" xfId="4" applyNumberFormat="1" applyFont="1" applyFill="1" applyBorder="1" applyAlignment="1" applyProtection="1">
      <alignment horizontal="center"/>
      <protection locked="0"/>
    </xf>
    <xf numFmtId="173" fontId="0" fillId="21" borderId="35" xfId="4" applyNumberFormat="1" applyFont="1" applyFill="1" applyBorder="1" applyProtection="1">
      <protection locked="0"/>
    </xf>
    <xf numFmtId="173" fontId="0" fillId="21" borderId="36" xfId="4" applyNumberFormat="1" applyFont="1" applyFill="1" applyBorder="1" applyProtection="1">
      <protection locked="0"/>
    </xf>
    <xf numFmtId="165" fontId="0" fillId="21" borderId="34" xfId="4" applyNumberFormat="1" applyFont="1" applyFill="1" applyBorder="1" applyProtection="1">
      <protection locked="0"/>
    </xf>
    <xf numFmtId="165" fontId="0" fillId="21" borderId="10" xfId="4" applyNumberFormat="1" applyFont="1" applyFill="1" applyBorder="1" applyProtection="1">
      <protection locked="0"/>
    </xf>
    <xf numFmtId="165" fontId="3" fillId="21" borderId="36" xfId="4" applyNumberFormat="1" applyFont="1" applyFill="1" applyBorder="1" applyProtection="1">
      <protection locked="0"/>
    </xf>
    <xf numFmtId="165" fontId="3" fillId="21" borderId="37" xfId="4" applyNumberFormat="1" applyFont="1" applyFill="1" applyBorder="1" applyProtection="1">
      <protection locked="0"/>
    </xf>
    <xf numFmtId="0" fontId="0" fillId="0" borderId="0" xfId="0" applyFill="1" applyProtection="1">
      <protection locked="0"/>
    </xf>
    <xf numFmtId="0" fontId="3" fillId="2" borderId="7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left"/>
      <protection locked="0"/>
    </xf>
    <xf numFmtId="165" fontId="3" fillId="2" borderId="10" xfId="4" applyNumberFormat="1" applyFont="1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0" borderId="32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2" borderId="17" xfId="0" applyFont="1" applyFill="1" applyBorder="1" applyAlignment="1" applyProtection="1">
      <alignment horizontal="center"/>
      <protection locked="0"/>
    </xf>
    <xf numFmtId="0" fontId="3" fillId="2" borderId="13" xfId="0" applyFont="1" applyFill="1" applyBorder="1" applyAlignment="1" applyProtection="1">
      <alignment horizontal="left"/>
      <protection locked="0"/>
    </xf>
    <xf numFmtId="0" fontId="3" fillId="2" borderId="41" xfId="0" applyFont="1" applyFill="1" applyBorder="1" applyAlignment="1" applyProtection="1">
      <alignment horizontal="left"/>
      <protection locked="0"/>
    </xf>
    <xf numFmtId="0" fontId="0" fillId="0" borderId="10" xfId="0" applyFill="1" applyBorder="1" applyProtection="1"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0" fillId="0" borderId="7" xfId="0" applyFill="1" applyBorder="1" applyProtection="1">
      <protection locked="0"/>
    </xf>
    <xf numFmtId="0" fontId="0" fillId="0" borderId="0" xfId="0" applyFill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left"/>
      <protection locked="0"/>
    </xf>
    <xf numFmtId="0" fontId="3" fillId="2" borderId="3" xfId="0" applyFont="1" applyFill="1" applyBorder="1" applyAlignment="1" applyProtection="1">
      <alignment horizontal="center"/>
      <protection locked="0"/>
    </xf>
    <xf numFmtId="0" fontId="3" fillId="2" borderId="4" xfId="0" applyFont="1" applyFill="1" applyBorder="1" applyAlignment="1" applyProtection="1">
      <alignment horizontal="left"/>
      <protection locked="0"/>
    </xf>
    <xf numFmtId="166" fontId="0" fillId="0" borderId="0" xfId="2" applyNumberFormat="1" applyFont="1" applyFill="1" applyBorder="1" applyProtection="1">
      <protection locked="0"/>
    </xf>
    <xf numFmtId="166" fontId="0" fillId="0" borderId="0" xfId="0" applyNumberFormat="1" applyProtection="1">
      <protection locked="0"/>
    </xf>
    <xf numFmtId="0" fontId="0" fillId="0" borderId="10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Continuous" vertical="center"/>
      <protection locked="0"/>
    </xf>
    <xf numFmtId="173" fontId="0" fillId="0" borderId="44" xfId="4" applyNumberFormat="1" applyFont="1" applyFill="1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3" fillId="0" borderId="17" xfId="0" applyFont="1" applyFill="1" applyBorder="1" applyAlignment="1" applyProtection="1">
      <alignment horizontal="center"/>
      <protection locked="0"/>
    </xf>
    <xf numFmtId="0" fontId="3" fillId="0" borderId="13" xfId="0" applyFont="1" applyFill="1" applyBorder="1" applyAlignment="1" applyProtection="1">
      <alignment horizontal="left"/>
      <protection locked="0"/>
    </xf>
    <xf numFmtId="173" fontId="0" fillId="0" borderId="33" xfId="4" applyNumberFormat="1" applyFont="1" applyFill="1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165" fontId="0" fillId="0" borderId="10" xfId="4" applyNumberFormat="1" applyFont="1" applyFill="1" applyBorder="1" applyProtection="1">
      <protection locked="0"/>
    </xf>
    <xf numFmtId="165" fontId="0" fillId="0" borderId="10" xfId="4" applyNumberFormat="1" applyFont="1" applyBorder="1" applyAlignment="1" applyProtection="1">
      <alignment horizontal="center"/>
      <protection locked="0"/>
    </xf>
    <xf numFmtId="0" fontId="3" fillId="2" borderId="42" xfId="0" applyFont="1" applyFill="1" applyBorder="1" applyAlignment="1" applyProtection="1">
      <alignment horizontal="center"/>
      <protection locked="0"/>
    </xf>
    <xf numFmtId="0" fontId="3" fillId="2" borderId="26" xfId="0" applyFont="1" applyFill="1" applyBorder="1" applyAlignment="1" applyProtection="1">
      <alignment horizontal="left"/>
      <protection locked="0"/>
    </xf>
    <xf numFmtId="0" fontId="3" fillId="2" borderId="27" xfId="0" applyFont="1" applyFill="1" applyBorder="1" applyAlignment="1" applyProtection="1">
      <alignment horizontal="left"/>
      <protection locked="0"/>
    </xf>
    <xf numFmtId="0" fontId="0" fillId="0" borderId="18" xfId="0" applyFill="1" applyBorder="1" applyAlignment="1" applyProtection="1">
      <alignment horizontal="centerContinuous" vertical="center"/>
      <protection locked="0"/>
    </xf>
    <xf numFmtId="0" fontId="0" fillId="0" borderId="19" xfId="0" applyBorder="1" applyAlignment="1" applyProtection="1">
      <alignment horizontal="centerContinuous" vertical="center"/>
      <protection locked="0"/>
    </xf>
    <xf numFmtId="0" fontId="0" fillId="0" borderId="20" xfId="0" applyBorder="1" applyAlignment="1" applyProtection="1">
      <alignment horizontal="centerContinuous" vertical="center"/>
      <protection locked="0"/>
    </xf>
    <xf numFmtId="0" fontId="0" fillId="0" borderId="48" xfId="0" applyFill="1" applyBorder="1" applyProtection="1">
      <protection locked="0"/>
    </xf>
    <xf numFmtId="0" fontId="0" fillId="0" borderId="8" xfId="0" applyBorder="1" applyProtection="1">
      <protection locked="0"/>
    </xf>
    <xf numFmtId="0" fontId="0" fillId="0" borderId="0" xfId="0" applyFill="1" applyBorder="1" applyProtection="1">
      <protection locked="0"/>
    </xf>
    <xf numFmtId="0" fontId="12" fillId="0" borderId="0" xfId="0" applyFont="1" applyAlignment="1" applyProtection="1">
      <alignment vertical="center"/>
      <protection locked="0"/>
    </xf>
    <xf numFmtId="0" fontId="0" fillId="0" borderId="40" xfId="0" applyFill="1" applyBorder="1" applyAlignment="1" applyProtection="1">
      <alignment horizontal="center"/>
      <protection locked="0"/>
    </xf>
    <xf numFmtId="0" fontId="0" fillId="0" borderId="36" xfId="0" applyFill="1" applyBorder="1" applyAlignment="1" applyProtection="1">
      <alignment horizontal="center"/>
      <protection locked="0"/>
    </xf>
    <xf numFmtId="0" fontId="0" fillId="0" borderId="17" xfId="0" applyFill="1" applyBorder="1" applyProtection="1">
      <protection locked="0"/>
    </xf>
    <xf numFmtId="167" fontId="0" fillId="0" borderId="0" xfId="0" applyNumberFormat="1" applyBorder="1" applyProtection="1">
      <protection locked="0"/>
    </xf>
    <xf numFmtId="2" fontId="0" fillId="0" borderId="13" xfId="0" applyNumberFormat="1" applyBorder="1" applyProtection="1">
      <protection locked="0"/>
    </xf>
    <xf numFmtId="2" fontId="0" fillId="0" borderId="33" xfId="0" applyNumberFormat="1" applyBorder="1" applyAlignment="1" applyProtection="1">
      <alignment horizontal="center"/>
      <protection locked="0"/>
    </xf>
    <xf numFmtId="0" fontId="0" fillId="0" borderId="42" xfId="0" applyFill="1" applyBorder="1" applyProtection="1">
      <protection locked="0"/>
    </xf>
    <xf numFmtId="2" fontId="0" fillId="0" borderId="26" xfId="0" applyNumberFormat="1" applyBorder="1" applyProtection="1">
      <protection locked="0"/>
    </xf>
    <xf numFmtId="2" fontId="0" fillId="0" borderId="51" xfId="0" applyNumberFormat="1" applyBorder="1" applyAlignment="1" applyProtection="1">
      <alignment horizontal="center"/>
      <protection locked="0"/>
    </xf>
    <xf numFmtId="0" fontId="0" fillId="15" borderId="9" xfId="0" applyFill="1" applyBorder="1" applyProtection="1">
      <protection locked="0"/>
    </xf>
    <xf numFmtId="9" fontId="0" fillId="15" borderId="20" xfId="3" applyFont="1" applyFill="1" applyBorder="1" applyProtection="1">
      <protection locked="0"/>
    </xf>
    <xf numFmtId="9" fontId="0" fillId="21" borderId="10" xfId="3" applyFont="1" applyFill="1" applyBorder="1" applyProtection="1">
      <protection locked="0"/>
    </xf>
    <xf numFmtId="9" fontId="0" fillId="21" borderId="9" xfId="3" applyFont="1" applyFill="1" applyBorder="1" applyProtection="1">
      <protection locked="0"/>
    </xf>
    <xf numFmtId="0" fontId="0" fillId="15" borderId="10" xfId="0" applyFill="1" applyBorder="1" applyProtection="1">
      <protection locked="0"/>
    </xf>
    <xf numFmtId="10" fontId="0" fillId="21" borderId="10" xfId="3" applyNumberFormat="1" applyFont="1" applyFill="1" applyBorder="1" applyProtection="1">
      <protection locked="0"/>
    </xf>
    <xf numFmtId="10" fontId="0" fillId="21" borderId="9" xfId="3" applyNumberFormat="1" applyFont="1" applyFill="1" applyBorder="1" applyProtection="1">
      <protection locked="0"/>
    </xf>
    <xf numFmtId="44" fontId="0" fillId="21" borderId="10" xfId="2" applyFont="1" applyFill="1" applyBorder="1" applyProtection="1">
      <protection locked="0"/>
    </xf>
    <xf numFmtId="9" fontId="0" fillId="21" borderId="20" xfId="3" applyNumberFormat="1" applyFont="1" applyFill="1" applyBorder="1" applyProtection="1">
      <protection locked="0"/>
    </xf>
    <xf numFmtId="0" fontId="0" fillId="21" borderId="10" xfId="2" applyNumberFormat="1" applyFont="1" applyFill="1" applyBorder="1" applyProtection="1">
      <protection locked="0"/>
    </xf>
    <xf numFmtId="9" fontId="0" fillId="15" borderId="54" xfId="0" applyNumberFormat="1" applyFill="1" applyBorder="1" applyProtection="1">
      <protection locked="0"/>
    </xf>
    <xf numFmtId="0" fontId="0" fillId="15" borderId="56" xfId="0" applyFill="1" applyBorder="1" applyProtection="1">
      <protection locked="0"/>
    </xf>
    <xf numFmtId="9" fontId="0" fillId="21" borderId="56" xfId="3" applyFont="1" applyFill="1" applyBorder="1" applyProtection="1">
      <protection locked="0"/>
    </xf>
    <xf numFmtId="0" fontId="0" fillId="15" borderId="5" xfId="0" applyFill="1" applyBorder="1" applyProtection="1">
      <protection locked="0"/>
    </xf>
    <xf numFmtId="9" fontId="0" fillId="21" borderId="5" xfId="3" applyFont="1" applyFill="1" applyBorder="1" applyProtection="1">
      <protection locked="0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17" borderId="1" xfId="0" applyFill="1" applyBorder="1" applyAlignment="1">
      <alignment horizontal="center" vertical="center"/>
    </xf>
    <xf numFmtId="0" fontId="0" fillId="17" borderId="7" xfId="0" applyFill="1" applyBorder="1" applyAlignment="1">
      <alignment horizontal="center" vertical="center"/>
    </xf>
    <xf numFmtId="0" fontId="0" fillId="17" borderId="3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4" borderId="7" xfId="0" applyFill="1" applyBorder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7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0" fontId="0" fillId="22" borderId="7" xfId="0" applyFill="1" applyBorder="1" applyAlignment="1">
      <alignment horizontal="center" vertical="center"/>
    </xf>
    <xf numFmtId="0" fontId="0" fillId="22" borderId="3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5">
    <cellStyle name="Komma" xfId="1" builtinId="3"/>
    <cellStyle name="Prozent" xfId="3" builtinId="5"/>
    <cellStyle name="Standard" xfId="0" builtinId="0"/>
    <cellStyle name="Währung" xfId="2" builtinId="4"/>
    <cellStyle name="Währung 2" xfId="4" xr:uid="{E564761B-7B9B-4C6A-B58F-2715F3EAC8BD}"/>
  </cellStyles>
  <dxfs count="4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/>
      </font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3" formatCode="_-* #,##0\ [$€-407]_-;\-* #,##0\ [$€-407]_-;_-* &quot;-&quot;??\ [$€-407]_-;_-@_-"/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numFmt numFmtId="166" formatCode="_-* #,##0\ &quot;€&quot;_-;\-* #,##0\ &quot;€&quot;_-;_-* &quot;-&quot;??\ &quot;€&quot;_-;_-@_-"/>
    </dxf>
    <dxf>
      <fill>
        <patternFill>
          <bgColor rgb="FFFFFF00"/>
        </patternFill>
      </fill>
      <border>
        <left style="thin">
          <color indexed="64"/>
        </left>
      </border>
      <protection locked="0" hidden="0"/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border>
        <right style="thin">
          <color indexed="64"/>
        </right>
      </border>
      <protection locked="0" hidden="0"/>
    </dxf>
    <dxf>
      <protection locked="0" hidden="0"/>
    </dxf>
    <dxf>
      <protection locked="0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6"/>
          <bgColor theme="6"/>
        </patternFill>
      </fill>
    </dxf>
    <dxf>
      <numFmt numFmtId="166" formatCode="_-* #,##0\ &quot;€&quot;_-;\-* #,##0\ &quot;€&quot;_-;_-* &quot;-&quot;??\ &quot;€&quot;_-;_-@_-"/>
    </dxf>
    <dxf>
      <fill>
        <patternFill patternType="solid">
          <fgColor indexed="64"/>
          <bgColor rgb="FFFFFF00"/>
        </patternFill>
      </fill>
      <border>
        <left style="thin">
          <color indexed="64"/>
        </left>
      </border>
      <protection locked="0" hidden="0"/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/>
        <top/>
        <bottom/>
      </border>
      <protection locked="0" hidden="0"/>
    </dxf>
    <dxf>
      <border outline="0">
        <right style="thin">
          <color indexed="64"/>
        </right>
      </border>
    </dxf>
    <dxf>
      <alignment horizontal="center" vertical="bottom" textRotation="0" wrapText="0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66FFFF"/>
      <color rgb="FFFF5050"/>
      <color rgb="FFDD523B"/>
      <color rgb="FFE57B69"/>
      <color rgb="FFCCFF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Kapitalwert</a:t>
            </a:r>
          </a:p>
        </c:rich>
      </c:tx>
      <c:layout>
        <c:manualLayout>
          <c:xMode val="edge"/>
          <c:yMode val="edge"/>
          <c:x val="0.45947222222222223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Neutral</c:v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'Wirtschaftlichkeit (Neutral)'!$C$44</c:f>
              <c:numCache>
                <c:formatCode>"€"#,##0_);[Red]\("€"#,##0\)</c:formatCode>
                <c:ptCount val="1"/>
                <c:pt idx="0">
                  <c:v>506542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FB-4163-8A59-DC6A1ECD8120}"/>
            </c:ext>
          </c:extLst>
        </c:ser>
        <c:ser>
          <c:idx val="1"/>
          <c:order val="1"/>
          <c:tx>
            <c:v>Best Case</c:v>
          </c:tx>
          <c:spPr>
            <a:solidFill>
              <a:schemeClr val="accent6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'Wirtschaftlichkeit (Positiv)'!$C$43</c:f>
              <c:numCache>
                <c:formatCode>"€"#,##0_);[Red]\("€"#,##0\)</c:formatCode>
                <c:ptCount val="1"/>
                <c:pt idx="0">
                  <c:v>744427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FB-4163-8A59-DC6A1ECD8120}"/>
            </c:ext>
          </c:extLst>
        </c:ser>
        <c:ser>
          <c:idx val="2"/>
          <c:order val="2"/>
          <c:tx>
            <c:v>Worst Case</c:v>
          </c:tx>
          <c:spPr>
            <a:solidFill>
              <a:srgbClr val="FF0000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'Wirtschaftlichkeit (Negativ)'!$C$44</c:f>
              <c:numCache>
                <c:formatCode>"€"#,##0_);[Red]\("€"#,##0\)</c:formatCode>
                <c:ptCount val="1"/>
                <c:pt idx="0">
                  <c:v>268658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FB-4163-8A59-DC6A1ECD8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259823551"/>
        <c:axId val="259814399"/>
        <c:axId val="0"/>
      </c:bar3DChart>
      <c:catAx>
        <c:axId val="259823551"/>
        <c:scaling>
          <c:orientation val="minMax"/>
        </c:scaling>
        <c:delete val="1"/>
        <c:axPos val="b"/>
        <c:majorTickMark val="none"/>
        <c:minorTickMark val="none"/>
        <c:tickLblPos val="nextTo"/>
        <c:crossAx val="259814399"/>
        <c:crosses val="autoZero"/>
        <c:auto val="1"/>
        <c:lblAlgn val="ctr"/>
        <c:lblOffset val="100"/>
        <c:noMultiLvlLbl val="0"/>
      </c:catAx>
      <c:valAx>
        <c:axId val="259814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982355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Kapitalwertverlauf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'Wirtschaftlichkeit (Positiv)'!$D$39:$AH$39</c:f>
              <c:numCache>
                <c:formatCode>"€"#,##0_);[Red]\("€"#,##0\)</c:formatCode>
                <c:ptCount val="31"/>
                <c:pt idx="0">
                  <c:v>-214500</c:v>
                </c:pt>
                <c:pt idx="1">
                  <c:v>22418.911735580896</c:v>
                </c:pt>
                <c:pt idx="2">
                  <c:v>24031.643550627046</c:v>
                </c:pt>
                <c:pt idx="3">
                  <c:v>25589.64474012037</c:v>
                </c:pt>
                <c:pt idx="4">
                  <c:v>27094.329419697609</c:v>
                </c:pt>
                <c:pt idx="5">
                  <c:v>-6065.4839736277072</c:v>
                </c:pt>
                <c:pt idx="6">
                  <c:v>29949.234862850259</c:v>
                </c:pt>
                <c:pt idx="7">
                  <c:v>31302.115462048725</c:v>
                </c:pt>
                <c:pt idx="8">
                  <c:v>32607.000812112568</c:v>
                </c:pt>
                <c:pt idx="9">
                  <c:v>33865.141402589376</c:v>
                </c:pt>
                <c:pt idx="10">
                  <c:v>1566.4453499057563</c:v>
                </c:pt>
                <c:pt idx="11">
                  <c:v>36246.038958058722</c:v>
                </c:pt>
                <c:pt idx="12">
                  <c:v>37371.147768673793</c:v>
                </c:pt>
                <c:pt idx="13">
                  <c:v>38454.216917991413</c:v>
                </c:pt>
                <c:pt idx="14">
                  <c:v>39496.351984063964</c:v>
                </c:pt>
                <c:pt idx="15">
                  <c:v>-56836.669740224323</c:v>
                </c:pt>
                <c:pt idx="16">
                  <c:v>41462.108174176086</c:v>
                </c:pt>
                <c:pt idx="17">
                  <c:v>42387.808372155501</c:v>
                </c:pt>
                <c:pt idx="18">
                  <c:v>43276.733880442611</c:v>
                </c:pt>
                <c:pt idx="19">
                  <c:v>44129.861932689499</c:v>
                </c:pt>
                <c:pt idx="20">
                  <c:v>13535.333891089198</c:v>
                </c:pt>
                <c:pt idx="21">
                  <c:v>45732.515915682088</c:v>
                </c:pt>
                <c:pt idx="22">
                  <c:v>46483.87932778817</c:v>
                </c:pt>
                <c:pt idx="23">
                  <c:v>47203.121349529152</c:v>
                </c:pt>
                <c:pt idx="24">
                  <c:v>47891.105538135147</c:v>
                </c:pt>
                <c:pt idx="25">
                  <c:v>18135.306967367109</c:v>
                </c:pt>
                <c:pt idx="26">
                  <c:v>49176.64951878498</c:v>
                </c:pt>
                <c:pt idx="27">
                  <c:v>49775.832806399769</c:v>
                </c:pt>
                <c:pt idx="28">
                  <c:v>50347.006228734288</c:v>
                </c:pt>
                <c:pt idx="29">
                  <c:v>50890.932654849952</c:v>
                </c:pt>
                <c:pt idx="30">
                  <c:v>51408.356240857087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37-4093-A11D-6433DBBAEA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32423424"/>
        <c:axId val="2132425920"/>
      </c:barChart>
      <c:catAx>
        <c:axId val="21324234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32425920"/>
        <c:crosses val="autoZero"/>
        <c:auto val="1"/>
        <c:lblAlgn val="ctr"/>
        <c:lblOffset val="100"/>
        <c:noMultiLvlLbl val="0"/>
      </c:catAx>
      <c:valAx>
        <c:axId val="2132425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3242342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Kapitalwert</a:t>
            </a:r>
          </a:p>
        </c:rich>
      </c:tx>
      <c:layout>
        <c:manualLayout>
          <c:xMode val="edge"/>
          <c:yMode val="edge"/>
          <c:x val="0.45947222222222223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Neutral</c:v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'Wirtschaftlichkeit (Neutral)'!$C$44</c:f>
              <c:numCache>
                <c:formatCode>"€"#,##0_);[Red]\("€"#,##0\)</c:formatCode>
                <c:ptCount val="1"/>
                <c:pt idx="0">
                  <c:v>506542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EE-4266-980B-7E1031D15629}"/>
            </c:ext>
          </c:extLst>
        </c:ser>
        <c:ser>
          <c:idx val="1"/>
          <c:order val="1"/>
          <c:tx>
            <c:v>Best Case</c:v>
          </c:tx>
          <c:spPr>
            <a:solidFill>
              <a:schemeClr val="accent6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'Wirtschaftlichkeit (Positiv)'!$C$43</c:f>
              <c:numCache>
                <c:formatCode>"€"#,##0_);[Red]\("€"#,##0\)</c:formatCode>
                <c:ptCount val="1"/>
                <c:pt idx="0">
                  <c:v>744427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EE-4266-980B-7E1031D15629}"/>
            </c:ext>
          </c:extLst>
        </c:ser>
        <c:ser>
          <c:idx val="2"/>
          <c:order val="2"/>
          <c:tx>
            <c:v>Worst Case</c:v>
          </c:tx>
          <c:spPr>
            <a:solidFill>
              <a:srgbClr val="FF0000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'Wirtschaftlichkeit (Negativ)'!$C$44</c:f>
              <c:numCache>
                <c:formatCode>"€"#,##0_);[Red]\("€"#,##0\)</c:formatCode>
                <c:ptCount val="1"/>
                <c:pt idx="0">
                  <c:v>268658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EE-4266-980B-7E1031D15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259823551"/>
        <c:axId val="259814399"/>
        <c:axId val="0"/>
      </c:bar3DChart>
      <c:catAx>
        <c:axId val="259823551"/>
        <c:scaling>
          <c:orientation val="minMax"/>
        </c:scaling>
        <c:delete val="1"/>
        <c:axPos val="b"/>
        <c:majorTickMark val="none"/>
        <c:minorTickMark val="none"/>
        <c:tickLblPos val="nextTo"/>
        <c:crossAx val="259814399"/>
        <c:crosses val="autoZero"/>
        <c:auto val="1"/>
        <c:lblAlgn val="ctr"/>
        <c:lblOffset val="100"/>
        <c:noMultiLvlLbl val="0"/>
      </c:catAx>
      <c:valAx>
        <c:axId val="259814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982355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Amortisation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5050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'Wirtschaftlichkeit (Negativ)'!$D$40:$AH$40</c:f>
              <c:numCache>
                <c:formatCode>"€"#,##0_);[Red]\("€"#,##0\)</c:formatCode>
                <c:ptCount val="31"/>
                <c:pt idx="0">
                  <c:v>-445500</c:v>
                </c:pt>
                <c:pt idx="1">
                  <c:v>-423081.08826441912</c:v>
                </c:pt>
                <c:pt idx="2">
                  <c:v>-399049.44471379207</c:v>
                </c:pt>
                <c:pt idx="3">
                  <c:v>-373459.79997367167</c:v>
                </c:pt>
                <c:pt idx="4">
                  <c:v>-346365.47055397404</c:v>
                </c:pt>
                <c:pt idx="5">
                  <c:v>-389706.02059036517</c:v>
                </c:pt>
                <c:pt idx="6">
                  <c:v>-359756.78572751489</c:v>
                </c:pt>
                <c:pt idx="7">
                  <c:v>-328454.67026546615</c:v>
                </c:pt>
                <c:pt idx="8">
                  <c:v>-295847.66945335356</c:v>
                </c:pt>
                <c:pt idx="9">
                  <c:v>-261982.52805076417</c:v>
                </c:pt>
                <c:pt idx="10">
                  <c:v>-296505.18789523176</c:v>
                </c:pt>
                <c:pt idx="11">
                  <c:v>-260259.14893717304</c:v>
                </c:pt>
                <c:pt idx="12">
                  <c:v>-222888.00116849924</c:v>
                </c:pt>
                <c:pt idx="13">
                  <c:v>-184433.78425050783</c:v>
                </c:pt>
                <c:pt idx="14">
                  <c:v>-144937.43226644385</c:v>
                </c:pt>
                <c:pt idx="15">
                  <c:v>-306596.73423520976</c:v>
                </c:pt>
                <c:pt idx="16">
                  <c:v>-265134.62606103369</c:v>
                </c:pt>
                <c:pt idx="17">
                  <c:v>-222746.81768887819</c:v>
                </c:pt>
                <c:pt idx="18">
                  <c:v>-179470.08380843559</c:v>
                </c:pt>
                <c:pt idx="19">
                  <c:v>-135340.22187574609</c:v>
                </c:pt>
                <c:pt idx="20">
                  <c:v>-155634.07015947625</c:v>
                </c:pt>
                <c:pt idx="21">
                  <c:v>-109901.55424379416</c:v>
                </c:pt>
                <c:pt idx="22">
                  <c:v>-63417.674916005992</c:v>
                </c:pt>
                <c:pt idx="23">
                  <c:v>-16214.553566476839</c:v>
                </c:pt>
                <c:pt idx="24">
                  <c:v>31676.551971658308</c:v>
                </c:pt>
                <c:pt idx="25">
                  <c:v>17059.001785372187</c:v>
                </c:pt>
                <c:pt idx="26">
                  <c:v>66235.65130415716</c:v>
                </c:pt>
                <c:pt idx="27">
                  <c:v>116011.48411055692</c:v>
                </c:pt>
                <c:pt idx="28">
                  <c:v>166358.49033929122</c:v>
                </c:pt>
                <c:pt idx="29">
                  <c:v>217249.42299414118</c:v>
                </c:pt>
                <c:pt idx="30">
                  <c:v>268657.77923499828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5D-4BB7-A115-47908E398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891952"/>
        <c:axId val="82876560"/>
      </c:barChart>
      <c:catAx>
        <c:axId val="828919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2876560"/>
        <c:crosses val="autoZero"/>
        <c:auto val="1"/>
        <c:lblAlgn val="ctr"/>
        <c:lblOffset val="100"/>
        <c:noMultiLvlLbl val="0"/>
      </c:catAx>
      <c:valAx>
        <c:axId val="82876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28919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Kapitalwertverlauf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'Wirtschaftlichkeit (Negativ)'!$D$39:$AH$39</c:f>
              <c:numCache>
                <c:formatCode>"€"#,##0_);[Red]\("€"#,##0\)</c:formatCode>
                <c:ptCount val="31"/>
                <c:pt idx="0">
                  <c:v>-445500</c:v>
                </c:pt>
                <c:pt idx="1">
                  <c:v>22418.911735580896</c:v>
                </c:pt>
                <c:pt idx="2">
                  <c:v>24031.643550627046</c:v>
                </c:pt>
                <c:pt idx="3">
                  <c:v>25589.64474012037</c:v>
                </c:pt>
                <c:pt idx="4">
                  <c:v>27094.329419697609</c:v>
                </c:pt>
                <c:pt idx="5">
                  <c:v>-43340.550036391098</c:v>
                </c:pt>
                <c:pt idx="6">
                  <c:v>29949.234862850259</c:v>
                </c:pt>
                <c:pt idx="7">
                  <c:v>31302.115462048725</c:v>
                </c:pt>
                <c:pt idx="8">
                  <c:v>32607.000812112568</c:v>
                </c:pt>
                <c:pt idx="9">
                  <c:v>33865.141402589376</c:v>
                </c:pt>
                <c:pt idx="10">
                  <c:v>-34522.659844467576</c:v>
                </c:pt>
                <c:pt idx="11">
                  <c:v>36246.038958058722</c:v>
                </c:pt>
                <c:pt idx="12">
                  <c:v>37371.147768673793</c:v>
                </c:pt>
                <c:pt idx="13">
                  <c:v>38454.216917991413</c:v>
                </c:pt>
                <c:pt idx="14">
                  <c:v>39496.351984063964</c:v>
                </c:pt>
                <c:pt idx="15">
                  <c:v>-161659.30196876591</c:v>
                </c:pt>
                <c:pt idx="16">
                  <c:v>41462.108174176086</c:v>
                </c:pt>
                <c:pt idx="17">
                  <c:v>42387.808372155501</c:v>
                </c:pt>
                <c:pt idx="18">
                  <c:v>43276.733880442611</c:v>
                </c:pt>
                <c:pt idx="19">
                  <c:v>44129.861932689499</c:v>
                </c:pt>
                <c:pt idx="20">
                  <c:v>-20293.848283730171</c:v>
                </c:pt>
                <c:pt idx="21">
                  <c:v>45732.515915682088</c:v>
                </c:pt>
                <c:pt idx="22">
                  <c:v>46483.87932778817</c:v>
                </c:pt>
                <c:pt idx="23">
                  <c:v>47203.121349529152</c:v>
                </c:pt>
                <c:pt idx="24">
                  <c:v>47891.105538135147</c:v>
                </c:pt>
                <c:pt idx="25">
                  <c:v>-14617.550186286122</c:v>
                </c:pt>
                <c:pt idx="26">
                  <c:v>49176.64951878498</c:v>
                </c:pt>
                <c:pt idx="27">
                  <c:v>49775.832806399769</c:v>
                </c:pt>
                <c:pt idx="28">
                  <c:v>50347.006228734288</c:v>
                </c:pt>
                <c:pt idx="29">
                  <c:v>50890.932654849952</c:v>
                </c:pt>
                <c:pt idx="30">
                  <c:v>51408.356240857087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9D-4EC5-B285-BDF3296878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6190384"/>
        <c:axId val="2036193296"/>
      </c:barChart>
      <c:catAx>
        <c:axId val="20361903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36193296"/>
        <c:crosses val="autoZero"/>
        <c:auto val="1"/>
        <c:lblAlgn val="ctr"/>
        <c:lblOffset val="100"/>
        <c:noMultiLvlLbl val="0"/>
      </c:catAx>
      <c:valAx>
        <c:axId val="203619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3619038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Ergebnis!$A$19</c:f>
              <c:strCache>
                <c:ptCount val="1"/>
                <c:pt idx="0">
                  <c:v>Strom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Ergebnis!$B$19</c:f>
              <c:numCache>
                <c:formatCode>_("€"* #,##0.00_);_("€"* \(#,##0.00\);_("€"* "-"??_);_(@_)</c:formatCode>
                <c:ptCount val="1"/>
                <c:pt idx="0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EA-41BC-9FB6-8D7217D6E92E}"/>
            </c:ext>
          </c:extLst>
        </c:ser>
        <c:ser>
          <c:idx val="1"/>
          <c:order val="1"/>
          <c:tx>
            <c:strRef>
              <c:f>Ergebnis!$A$20</c:f>
              <c:strCache>
                <c:ptCount val="1"/>
                <c:pt idx="0">
                  <c:v>Wärme</c:v>
                </c:pt>
              </c:strCache>
            </c:strRef>
          </c:tx>
          <c:spPr>
            <a:solidFill>
              <a:srgbClr val="DD523B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Ergebnis!$B$20</c:f>
              <c:numCache>
                <c:formatCode>_("€"* #,##0.00_);_("€"* \(#,##0.00\);_("€"* "-"??_);_(@_)</c:formatCode>
                <c:ptCount val="1"/>
                <c:pt idx="0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EA-41BC-9FB6-8D7217D6E92E}"/>
            </c:ext>
          </c:extLst>
        </c:ser>
        <c:ser>
          <c:idx val="2"/>
          <c:order val="2"/>
          <c:tx>
            <c:strRef>
              <c:f>Ergebnis!$A$21</c:f>
              <c:strCache>
                <c:ptCount val="1"/>
                <c:pt idx="0">
                  <c:v>Wasser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Ergebnis!$B$21</c:f>
              <c:numCache>
                <c:formatCode>_("€"* #,##0.00_);_("€"* \(#,##0.00\);_("€"* "-"??_);_(@_)</c:formatCode>
                <c:ptCount val="1"/>
                <c:pt idx="0">
                  <c:v>0.17791666666666664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EA-41BC-9FB6-8D7217D6E92E}"/>
            </c:ext>
          </c:extLst>
        </c:ser>
        <c:ser>
          <c:idx val="3"/>
          <c:order val="3"/>
          <c:tx>
            <c:strRef>
              <c:f>Ergebnis!$A$22</c:f>
              <c:strCache>
                <c:ptCount val="1"/>
                <c:pt idx="0">
                  <c:v>Personal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Ergebnis!$B$22</c:f>
              <c:numCache>
                <c:formatCode>_("€"* #,##0.00_);_("€"* \(#,##0.00\);_("€"* "-"??_);_(@_)</c:formatCode>
                <c:ptCount val="1"/>
                <c:pt idx="0">
                  <c:v>0.30666666666666664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EA-41BC-9FB6-8D7217D6E92E}"/>
            </c:ext>
          </c:extLst>
        </c:ser>
        <c:ser>
          <c:idx val="4"/>
          <c:order val="4"/>
          <c:tx>
            <c:strRef>
              <c:f>Ergebnis!$A$23</c:f>
              <c:strCache>
                <c:ptCount val="1"/>
                <c:pt idx="0">
                  <c:v>Betriebsmittel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Ergebnis!$B$23</c:f>
              <c:numCache>
                <c:formatCode>_("€"* #,##0.00_);_("€"* \(#,##0.00\);_("€"* "-"??_);_(@_)</c:formatCode>
                <c:ptCount val="1"/>
                <c:pt idx="0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2EA-41BC-9FB6-8D7217D6E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100"/>
        <c:axId val="403739024"/>
        <c:axId val="403736528"/>
      </c:barChart>
      <c:catAx>
        <c:axId val="4037390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03736528"/>
        <c:crosses val="autoZero"/>
        <c:auto val="1"/>
        <c:lblAlgn val="ctr"/>
        <c:lblOffset val="100"/>
        <c:noMultiLvlLbl val="0"/>
      </c:catAx>
      <c:valAx>
        <c:axId val="403736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373902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Ergebnis!$H$19</c:f>
              <c:strCache>
                <c:ptCount val="1"/>
                <c:pt idx="0">
                  <c:v>Strom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Ergebnis!$I$19</c:f>
              <c:numCache>
                <c:formatCode>_("€"* #,##0.00_);_("€"* \(#,##0.00\);_("€"* "-"??_);_(@_)</c:formatCode>
                <c:ptCount val="1"/>
                <c:pt idx="0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DB-46A7-97A5-362106BB223E}"/>
            </c:ext>
          </c:extLst>
        </c:ser>
        <c:ser>
          <c:idx val="1"/>
          <c:order val="1"/>
          <c:tx>
            <c:strRef>
              <c:f>Ergebnis!$H$20</c:f>
              <c:strCache>
                <c:ptCount val="1"/>
                <c:pt idx="0">
                  <c:v>Wärme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Ergebnis!$I$20</c:f>
              <c:numCache>
                <c:formatCode>_("€"* #,##0.00_);_("€"* \(#,##0.00\);_("€"* "-"??_);_(@_)</c:formatCode>
                <c:ptCount val="1"/>
                <c:pt idx="0">
                  <c:v>6.4999999999999997E-3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DB-46A7-97A5-362106BB223E}"/>
            </c:ext>
          </c:extLst>
        </c:ser>
        <c:ser>
          <c:idx val="2"/>
          <c:order val="2"/>
          <c:tx>
            <c:strRef>
              <c:f>Ergebnis!$H$21</c:f>
              <c:strCache>
                <c:ptCount val="1"/>
                <c:pt idx="0">
                  <c:v>Wasser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Ergebnis!$I$21</c:f>
              <c:numCache>
                <c:formatCode>_("€"* #,##0.00_);_("€"* \(#,##0.00\);_("€"* "-"??_);_(@_)</c:formatCode>
                <c:ptCount val="1"/>
                <c:pt idx="0">
                  <c:v>0.11564583333333332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DB-46A7-97A5-362106BB223E}"/>
            </c:ext>
          </c:extLst>
        </c:ser>
        <c:ser>
          <c:idx val="3"/>
          <c:order val="3"/>
          <c:tx>
            <c:strRef>
              <c:f>Ergebnis!$H$22</c:f>
              <c:strCache>
                <c:ptCount val="1"/>
                <c:pt idx="0">
                  <c:v>Personal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Ergebnis!$I$22</c:f>
              <c:numCache>
                <c:formatCode>_("€"* #,##0.00_);_("€"* \(#,##0.00\);_("€"* "-"??_);_(@_)</c:formatCode>
                <c:ptCount val="1"/>
                <c:pt idx="0">
                  <c:v>0.19933333333333333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DB-46A7-97A5-362106BB223E}"/>
            </c:ext>
          </c:extLst>
        </c:ser>
        <c:ser>
          <c:idx val="4"/>
          <c:order val="4"/>
          <c:tx>
            <c:strRef>
              <c:f>Ergebnis!$H$23</c:f>
              <c:strCache>
                <c:ptCount val="1"/>
                <c:pt idx="0">
                  <c:v>Betriebsmittel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Ergebnis!$I$23</c:f>
              <c:numCache>
                <c:formatCode>_("€"* #,##0.00_);_("€"* \(#,##0.00\);_("€"* "-"??_);_(@_)</c:formatCode>
                <c:ptCount val="1"/>
                <c:pt idx="0">
                  <c:v>0.13650000000000001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DB-46A7-97A5-362106BB2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100"/>
        <c:axId val="661230976"/>
        <c:axId val="661235136"/>
      </c:barChart>
      <c:catAx>
        <c:axId val="6612309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61235136"/>
        <c:crosses val="autoZero"/>
        <c:auto val="1"/>
        <c:lblAlgn val="ctr"/>
        <c:lblOffset val="100"/>
        <c:noMultiLvlLbl val="0"/>
      </c:catAx>
      <c:valAx>
        <c:axId val="66123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123097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Ergebnis!$O$19</c:f>
              <c:strCache>
                <c:ptCount val="1"/>
                <c:pt idx="0">
                  <c:v>Strom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Ergebnis!$P$19</c:f>
              <c:numCache>
                <c:formatCode>_("€"* #,##0.00_);_("€"* \(#,##0.00\);_("€"* "-"??_);_(@_)</c:formatCode>
                <c:ptCount val="1"/>
                <c:pt idx="0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B-486B-981F-8877EB133717}"/>
            </c:ext>
          </c:extLst>
        </c:ser>
        <c:ser>
          <c:idx val="1"/>
          <c:order val="1"/>
          <c:tx>
            <c:strRef>
              <c:f>Ergebnis!$O$20</c:f>
              <c:strCache>
                <c:ptCount val="1"/>
                <c:pt idx="0">
                  <c:v>Wärme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Ergebnis!$P$20</c:f>
              <c:numCache>
                <c:formatCode>_("€"* #,##0.00_);_("€"* \(#,##0.00\);_("€"* "-"??_);_(@_)</c:formatCode>
                <c:ptCount val="1"/>
                <c:pt idx="0">
                  <c:v>1.35E-2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B-486B-981F-8877EB133717}"/>
            </c:ext>
          </c:extLst>
        </c:ser>
        <c:ser>
          <c:idx val="2"/>
          <c:order val="2"/>
          <c:tx>
            <c:strRef>
              <c:f>Ergebnis!$O$21</c:f>
              <c:strCache>
                <c:ptCount val="1"/>
                <c:pt idx="0">
                  <c:v>Wasser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Ergebnis!$P$21</c:f>
              <c:numCache>
                <c:formatCode>_("€"* #,##0.00_);_("€"* \(#,##0.00\);_("€"* "-"??_);_(@_)</c:formatCode>
                <c:ptCount val="1"/>
                <c:pt idx="0">
                  <c:v>0.24018749999999997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9B-486B-981F-8877EB133717}"/>
            </c:ext>
          </c:extLst>
        </c:ser>
        <c:ser>
          <c:idx val="3"/>
          <c:order val="3"/>
          <c:tx>
            <c:strRef>
              <c:f>Ergebnis!$O$22</c:f>
              <c:strCache>
                <c:ptCount val="1"/>
                <c:pt idx="0">
                  <c:v>Personal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Ergebnis!$P$22</c:f>
              <c:numCache>
                <c:formatCode>_("€"* #,##0.00_);_("€"* \(#,##0.00\);_("€"* "-"??_);_(@_)</c:formatCode>
                <c:ptCount val="1"/>
                <c:pt idx="0">
                  <c:v>0.41399999999999998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9B-486B-981F-8877EB133717}"/>
            </c:ext>
          </c:extLst>
        </c:ser>
        <c:ser>
          <c:idx val="4"/>
          <c:order val="4"/>
          <c:tx>
            <c:strRef>
              <c:f>Ergebnis!$O$23</c:f>
              <c:strCache>
                <c:ptCount val="1"/>
                <c:pt idx="0">
                  <c:v>Betriebsmittel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Ergebnis!$P$23</c:f>
              <c:numCache>
                <c:formatCode>_("€"* #,##0.00_);_("€"* \(#,##0.00\);_("€"* "-"??_);_(@_)</c:formatCode>
                <c:ptCount val="1"/>
                <c:pt idx="0">
                  <c:v>0.28349999999999997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9B-486B-981F-8877EB133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100"/>
        <c:axId val="346098336"/>
        <c:axId val="346096672"/>
      </c:barChart>
      <c:catAx>
        <c:axId val="3460983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46096672"/>
        <c:crosses val="autoZero"/>
        <c:auto val="1"/>
        <c:lblAlgn val="ctr"/>
        <c:lblOffset val="100"/>
        <c:noMultiLvlLbl val="0"/>
      </c:catAx>
      <c:valAx>
        <c:axId val="34609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4609833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Jahreskosten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accent1"/>
                </a:solidFill>
              </a:ln>
              <a:effectLst/>
              <a:sp3d contourW="25400">
                <a:contourClr>
                  <a:schemeClr val="accen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739-4E88-88B7-2DD25D4337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  <a:sp3d contourW="25400">
                <a:contourClr>
                  <a:schemeClr val="accent2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739-4E88-88B7-2DD25D4337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bg1">
                    <a:lumMod val="65000"/>
                  </a:schemeClr>
                </a:solidFill>
              </a:ln>
              <a:effectLst/>
              <a:sp3d contourW="25400">
                <a:contourClr>
                  <a:schemeClr val="bg1">
                    <a:lumMod val="6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E739-4E88-88B7-2DD25D4337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accent4"/>
                </a:solidFill>
              </a:ln>
              <a:effectLst/>
              <a:sp3d contourW="25400">
                <a:contourClr>
                  <a:schemeClr val="accent4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E739-4E88-88B7-2DD25D4337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accent5"/>
                </a:solidFill>
              </a:ln>
              <a:effectLst/>
              <a:sp3d contourW="25400">
                <a:contourClr>
                  <a:schemeClr val="accent5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E739-4E88-88B7-2DD25D4337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accent6"/>
                </a:solidFill>
              </a:ln>
              <a:effectLst/>
              <a:sp3d contourW="25400">
                <a:contourClr>
                  <a:schemeClr val="accent6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E739-4E88-88B7-2DD25D4337A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accent1">
                    <a:lumMod val="50000"/>
                  </a:schemeClr>
                </a:solidFill>
              </a:ln>
              <a:effectLst/>
              <a:sp3d contourW="25400">
                <a:contourClr>
                  <a:schemeClr val="accent1">
                    <a:lumMod val="5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E739-4E88-88B7-2DD25D4337A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  <a:sp3d contourW="25400">
                <a:contourClr>
                  <a:schemeClr val="accent2">
                    <a:lumMod val="5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E739-4E88-88B7-2DD25D4337AE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  <a:sp3d contourW="25400">
                <a:contourClr>
                  <a:schemeClr val="tx1">
                    <a:lumMod val="65000"/>
                    <a:lumOff val="3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C9B9-4525-BBD2-194DF5BE3A7C}"/>
              </c:ext>
            </c:extLst>
          </c:dPt>
          <c:dLbls>
            <c:dLbl>
              <c:idx val="0"/>
              <c:layout>
                <c:manualLayout>
                  <c:x val="7.3100793650793652E-2"/>
                  <c:y val="3.18775100401606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39-4E88-88B7-2DD25D4337AE}"/>
                </c:ext>
              </c:extLst>
            </c:dLbl>
            <c:dLbl>
              <c:idx val="1"/>
              <c:layout>
                <c:manualLayout>
                  <c:x val="0.15222222222222223"/>
                  <c:y val="5.52543507362784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739-4E88-88B7-2DD25D4337A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9B9-4525-BBD2-194DF5BE3A7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Hilfsblatt!$A$34:$A$42</c:f>
              <c:strCache>
                <c:ptCount val="9"/>
                <c:pt idx="0">
                  <c:v>Strom</c:v>
                </c:pt>
                <c:pt idx="1">
                  <c:v>Wärme</c:v>
                </c:pt>
                <c:pt idx="2">
                  <c:v>Wasser</c:v>
                </c:pt>
                <c:pt idx="3">
                  <c:v>Personal</c:v>
                </c:pt>
                <c:pt idx="4">
                  <c:v>Betriebsmittel</c:v>
                </c:pt>
                <c:pt idx="5">
                  <c:v>Transport/Entsorgung</c:v>
                </c:pt>
                <c:pt idx="6">
                  <c:v>Wartung</c:v>
                </c:pt>
                <c:pt idx="7">
                  <c:v>Versicherung</c:v>
                </c:pt>
                <c:pt idx="8">
                  <c:v>Abschreibung</c:v>
                </c:pt>
              </c:strCache>
            </c:strRef>
          </c:cat>
          <c:val>
            <c:numRef>
              <c:f>Hilfsblatt!$B$34:$B$42</c:f>
              <c:numCache>
                <c:formatCode>_-* #,##0\ "€"_-;\-* #,##0\ "€"_-;_-* "-"??\ "€"_-;_-@_-</c:formatCode>
                <c:ptCount val="9"/>
                <c:pt idx="0">
                  <c:v>4800</c:v>
                </c:pt>
                <c:pt idx="1">
                  <c:v>1200</c:v>
                </c:pt>
                <c:pt idx="2">
                  <c:v>21349.999999999996</c:v>
                </c:pt>
                <c:pt idx="3">
                  <c:v>36800</c:v>
                </c:pt>
                <c:pt idx="4">
                  <c:v>25200</c:v>
                </c:pt>
                <c:pt idx="5">
                  <c:v>54000</c:v>
                </c:pt>
                <c:pt idx="6">
                  <c:v>5500</c:v>
                </c:pt>
                <c:pt idx="7">
                  <c:v>2750</c:v>
                </c:pt>
                <c:pt idx="8">
                  <c:v>29333.333333333332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739-4E88-88B7-2DD25D433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Jahreskosten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accent1"/>
                </a:solidFill>
              </a:ln>
              <a:effectLst/>
              <a:sp3d contourW="25400">
                <a:contourClr>
                  <a:schemeClr val="accen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A17-4DC4-8289-B844537DA34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  <a:sp3d contourW="25400">
                <a:contourClr>
                  <a:schemeClr val="accent2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A17-4DC4-8289-B844537DA34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bg1">
                    <a:lumMod val="65000"/>
                  </a:schemeClr>
                </a:solidFill>
              </a:ln>
              <a:effectLst/>
              <a:sp3d contourW="25400">
                <a:contourClr>
                  <a:schemeClr val="bg1">
                    <a:lumMod val="6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A17-4DC4-8289-B844537DA34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accent4"/>
                </a:solidFill>
              </a:ln>
              <a:effectLst/>
              <a:sp3d contourW="25400">
                <a:contourClr>
                  <a:schemeClr val="accent4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A17-4DC4-8289-B844537DA34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accent5"/>
                </a:solidFill>
              </a:ln>
              <a:effectLst/>
              <a:sp3d contourW="25400">
                <a:contourClr>
                  <a:schemeClr val="accent5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A17-4DC4-8289-B844537DA34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accent6"/>
                </a:solidFill>
              </a:ln>
              <a:effectLst/>
              <a:sp3d contourW="25400">
                <a:contourClr>
                  <a:schemeClr val="accent6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5A17-4DC4-8289-B844537DA34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accent1">
                    <a:lumMod val="50000"/>
                  </a:schemeClr>
                </a:solidFill>
              </a:ln>
              <a:effectLst/>
              <a:sp3d contourW="25400">
                <a:contourClr>
                  <a:schemeClr val="accent1">
                    <a:lumMod val="5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5A17-4DC4-8289-B844537DA34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  <a:sp3d contourW="25400">
                <a:contourClr>
                  <a:schemeClr val="accent2">
                    <a:lumMod val="5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5A17-4DC4-8289-B844537DA34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  <a:sp3d contourW="25400">
                <a:contourClr>
                  <a:schemeClr val="tx1">
                    <a:lumMod val="65000"/>
                    <a:lumOff val="3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2-8A5B-4B63-A4ED-06E9E3CAEAD6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Hilfsblatt!$A$34:$A$42</c:f>
              <c:strCache>
                <c:ptCount val="9"/>
                <c:pt idx="0">
                  <c:v>Strom</c:v>
                </c:pt>
                <c:pt idx="1">
                  <c:v>Wärme</c:v>
                </c:pt>
                <c:pt idx="2">
                  <c:v>Wasser</c:v>
                </c:pt>
                <c:pt idx="3">
                  <c:v>Personal</c:v>
                </c:pt>
                <c:pt idx="4">
                  <c:v>Betriebsmittel</c:v>
                </c:pt>
                <c:pt idx="5">
                  <c:v>Transport/Entsorgung</c:v>
                </c:pt>
                <c:pt idx="6">
                  <c:v>Wartung</c:v>
                </c:pt>
                <c:pt idx="7">
                  <c:v>Versicherung</c:v>
                </c:pt>
                <c:pt idx="8">
                  <c:v>Abschreibung</c:v>
                </c:pt>
              </c:strCache>
            </c:strRef>
          </c:cat>
          <c:val>
            <c:numRef>
              <c:f>Hilfsblatt!$D$34:$D$42</c:f>
              <c:numCache>
                <c:formatCode>_-* #,##0\ "€"_-;\-* #,##0\ "€"_-;_-* "-"??\ "€"_-;_-@_-</c:formatCode>
                <c:ptCount val="9"/>
                <c:pt idx="0">
                  <c:v>6480</c:v>
                </c:pt>
                <c:pt idx="1">
                  <c:v>1620</c:v>
                </c:pt>
                <c:pt idx="2">
                  <c:v>28822.499999999996</c:v>
                </c:pt>
                <c:pt idx="3">
                  <c:v>49680</c:v>
                </c:pt>
                <c:pt idx="4">
                  <c:v>34020</c:v>
                </c:pt>
                <c:pt idx="5">
                  <c:v>54000</c:v>
                </c:pt>
                <c:pt idx="6">
                  <c:v>5500</c:v>
                </c:pt>
                <c:pt idx="7">
                  <c:v>2750</c:v>
                </c:pt>
                <c:pt idx="8">
                  <c:v>39600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A17-4DC4-8289-B844537DA34C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Kostenvergleich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0"/>
      <c:rotY val="20"/>
      <c:rAngAx val="0"/>
      <c:perspective val="1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ysClr val="windowText" lastClr="000000"/>
          </a:solidFill>
        </a:ln>
        <a:effectLst/>
        <a:sp3d>
          <a:contourClr>
            <a:sysClr val="windowText" lastClr="000000"/>
          </a:contourClr>
        </a:sp3d>
      </c:spPr>
    </c:sideWall>
    <c:backWall>
      <c:thickness val="0"/>
      <c:spPr>
        <a:noFill/>
        <a:ln>
          <a:solidFill>
            <a:sysClr val="windowText" lastClr="000000"/>
          </a:solidFill>
        </a:ln>
        <a:effectLst/>
        <a:sp3d>
          <a:contourClr>
            <a:sysClr val="windowText" lastClr="000000"/>
          </a:contourClr>
        </a:sp3d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Sensitivitätsanalyse!$B$29</c:f>
              <c:strCache>
                <c:ptCount val="1"/>
                <c:pt idx="0">
                  <c:v>Neutral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  <a:sp3d>
              <a:contourClr>
                <a:sysClr val="windowText" lastClr="000000"/>
              </a:contourClr>
            </a:sp3d>
          </c:spPr>
          <c:invertIfNegative val="0"/>
          <c:val>
            <c:numRef>
              <c:f>Sensitivitätsanalyse!$C$29</c:f>
              <c:numCache>
                <c:formatCode>_-* #,##0\ "€"_-;\-* #,##0\ "€"_-;_-* "-"??\ "€"_-;_-@_-</c:formatCode>
                <c:ptCount val="1"/>
                <c:pt idx="0">
                  <c:v>180933.33333333334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C8-48ED-8D6A-2293BBA35796}"/>
            </c:ext>
          </c:extLst>
        </c:ser>
        <c:ser>
          <c:idx val="1"/>
          <c:order val="1"/>
          <c:tx>
            <c:strRef>
              <c:f>Sensitivitätsanalyse!$B$30</c:f>
              <c:strCache>
                <c:ptCount val="1"/>
                <c:pt idx="0">
                  <c:v>Best Case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ysClr val="windowText" lastClr="000000"/>
              </a:solidFill>
            </a:ln>
            <a:effectLst/>
            <a:sp3d>
              <a:contourClr>
                <a:sysClr val="windowText" lastClr="000000"/>
              </a:contourClr>
            </a:sp3d>
          </c:spPr>
          <c:invertIfNegative val="0"/>
          <c:val>
            <c:numRef>
              <c:f>Sensitivitätsanalyse!$C$30</c:f>
              <c:numCache>
                <c:formatCode>_-* #,##0\ "€"_-;\-* #,##0\ "€"_-;_-* "-"??\ "€"_-;_-@_-</c:formatCode>
                <c:ptCount val="1"/>
                <c:pt idx="0">
                  <c:v>139394.16666666666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C8-48ED-8D6A-2293BBA35796}"/>
            </c:ext>
          </c:extLst>
        </c:ser>
        <c:ser>
          <c:idx val="2"/>
          <c:order val="2"/>
          <c:tx>
            <c:strRef>
              <c:f>Sensitivitätsanalyse!$B$31</c:f>
              <c:strCache>
                <c:ptCount val="1"/>
                <c:pt idx="0">
                  <c:v>Worst Case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  <a:sp3d>
              <a:contourClr>
                <a:sysClr val="windowText" lastClr="000000"/>
              </a:contourClr>
            </a:sp3d>
          </c:spPr>
          <c:invertIfNegative val="0"/>
          <c:val>
            <c:numRef>
              <c:f>Sensitivitätsanalyse!$C$31</c:f>
              <c:numCache>
                <c:formatCode>_-* #,##0\ "€"_-;\-* #,##0\ "€"_-;_-* "-"??\ "€"_-;_-@_-</c:formatCode>
                <c:ptCount val="1"/>
                <c:pt idx="0">
                  <c:v>222472.5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C8-48ED-8D6A-2293BBA35796}"/>
            </c:ext>
          </c:extLst>
        </c:ser>
        <c:ser>
          <c:idx val="3"/>
          <c:order val="3"/>
          <c:tx>
            <c:strRef>
              <c:f>Sensitivitätsanalyse!$D$28</c:f>
              <c:strCache>
                <c:ptCount val="1"/>
                <c:pt idx="0">
                  <c:v>Sensitivitätsanalyse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Text" lastClr="000000"/>
              </a:solidFill>
            </a:ln>
            <a:effectLst/>
            <a:sp3d>
              <a:contourClr>
                <a:sysClr val="windowText" lastClr="000000"/>
              </a:contourClr>
            </a:sp3d>
          </c:spPr>
          <c:invertIfNegative val="0"/>
          <c:val>
            <c:numRef>
              <c:f>Sensitivitätsanalyse!$D$29</c:f>
              <c:numCache>
                <c:formatCode>_-* #,##0\ "€"_-;\-* #,##0\ "€"_-;_-* "-"??\ "€"_-;_-@_-</c:formatCode>
                <c:ptCount val="1"/>
                <c:pt idx="0">
                  <c:v>179660.83333333334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C8-48ED-8D6A-2293BBA35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shape val="box"/>
        <c:axId val="23448031"/>
        <c:axId val="23452607"/>
        <c:axId val="0"/>
      </c:bar3DChart>
      <c:catAx>
        <c:axId val="23448031"/>
        <c:scaling>
          <c:orientation val="minMax"/>
        </c:scaling>
        <c:delete val="1"/>
        <c:axPos val="b"/>
        <c:majorTickMark val="none"/>
        <c:minorTickMark val="none"/>
        <c:tickLblPos val="nextTo"/>
        <c:crossAx val="23452607"/>
        <c:crossesAt val="0"/>
        <c:auto val="1"/>
        <c:lblAlgn val="ctr"/>
        <c:lblOffset val="100"/>
        <c:noMultiLvlLbl val="0"/>
      </c:catAx>
      <c:valAx>
        <c:axId val="23452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&quot;€&quot;_-;\-* #,##0\ &quot;€&quot;_-;_-* &quot;-&quot;??\ &quot;€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3448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Annuität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0"/>
      <c:rotY val="13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ysClr val="windowText" lastClr="000000"/>
          </a:solidFill>
        </a:ln>
        <a:effectLst/>
        <a:sp3d>
          <a:contourClr>
            <a:sysClr val="windowText" lastClr="000000"/>
          </a:contourClr>
        </a:sp3d>
      </c:spPr>
    </c:sideWall>
    <c:backWall>
      <c:thickness val="0"/>
      <c:spPr>
        <a:noFill/>
        <a:ln>
          <a:solidFill>
            <a:sysClr val="windowText" lastClr="000000"/>
          </a:solidFill>
        </a:ln>
        <a:effectLst/>
        <a:sp3d>
          <a:contourClr>
            <a:sysClr val="windowText" lastClr="000000"/>
          </a:contourClr>
        </a:sp3d>
      </c:spPr>
    </c:backWall>
    <c:plotArea>
      <c:layout>
        <c:manualLayout>
          <c:layoutTarget val="inner"/>
          <c:xMode val="edge"/>
          <c:yMode val="edge"/>
          <c:x val="6.4786183159336777E-2"/>
          <c:y val="9.1328150509161876E-2"/>
          <c:w val="0.81170910590004453"/>
          <c:h val="0.81276171433612654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Ergebnis!$K$5</c:f>
              <c:strCache>
                <c:ptCount val="1"/>
                <c:pt idx="0">
                  <c:v>Investition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Ergebnis!$M$5</c:f>
              <c:numCache>
                <c:formatCode>"€"#,##0_);[Red]\("€"#,##0\)</c:formatCode>
                <c:ptCount val="1"/>
                <c:pt idx="0">
                  <c:v>-22258.720260070026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250-4B88-B09B-EE0A07E3D6CD}"/>
            </c:ext>
          </c:extLst>
        </c:ser>
        <c:ser>
          <c:idx val="1"/>
          <c:order val="1"/>
          <c:tx>
            <c:strRef>
              <c:f>Ergebnis!$K$6</c:f>
              <c:strCache>
                <c:ptCount val="1"/>
                <c:pt idx="0">
                  <c:v>Betriebskosten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Ergebnis!$M$6</c:f>
              <c:numCache>
                <c:formatCode>"€"#,##0_);[Red]\("€"#,##0\)</c:formatCode>
                <c:ptCount val="1"/>
                <c:pt idx="0">
                  <c:v>-71625.784148845909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250-4B88-B09B-EE0A07E3D6CD}"/>
            </c:ext>
          </c:extLst>
        </c:ser>
        <c:ser>
          <c:idx val="2"/>
          <c:order val="2"/>
          <c:tx>
            <c:strRef>
              <c:f>Ergebnis!$K$7</c:f>
              <c:strCache>
                <c:ptCount val="1"/>
                <c:pt idx="0">
                  <c:v>Betriebsmittel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p3d>
              <a:contourClr>
                <a:schemeClr val="accent2">
                  <a:lumMod val="50000"/>
                </a:schemeClr>
              </a:contourClr>
            </a:sp3d>
          </c:spPr>
          <c:invertIfNegative val="0"/>
          <c:val>
            <c:numRef>
              <c:f>Ergebnis!$M$7</c:f>
              <c:numCache>
                <c:formatCode>"€"#,##0_);[Red]\("€"#,##0\)</c:formatCode>
                <c:ptCount val="1"/>
                <c:pt idx="0">
                  <c:v>-31005.817658919594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0250-4B88-B09B-EE0A07E3D6CD}"/>
            </c:ext>
          </c:extLst>
        </c:ser>
        <c:ser>
          <c:idx val="3"/>
          <c:order val="3"/>
          <c:tx>
            <c:strRef>
              <c:f>Ergebnis!$K$8</c:f>
              <c:strCache>
                <c:ptCount val="1"/>
                <c:pt idx="0">
                  <c:v>Sonstige Kosten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Ergebnis!$M$8</c:f>
              <c:numCache>
                <c:formatCode>"€"#,##0_);[Red]\("€"#,##0\)</c:formatCode>
                <c:ptCount val="1"/>
                <c:pt idx="0">
                  <c:v>-67679.186105246539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0250-4B88-B09B-EE0A07E3D6CD}"/>
            </c:ext>
          </c:extLst>
        </c:ser>
        <c:ser>
          <c:idx val="4"/>
          <c:order val="4"/>
          <c:tx>
            <c:strRef>
              <c:f>Ergebnis!$K$9</c:f>
              <c:strCache>
                <c:ptCount val="1"/>
                <c:pt idx="0">
                  <c:v>Erlöse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Ergebnis!$M$9</c:f>
              <c:numCache>
                <c:formatCode>"€"#,##0_);[Red]\("€"#,##0\)</c:formatCode>
                <c:ptCount val="1"/>
                <c:pt idx="0">
                  <c:v>230076.42295525697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0250-4B88-B09B-EE0A07E3D6CD}"/>
            </c:ext>
          </c:extLst>
        </c:ser>
        <c:ser>
          <c:idx val="5"/>
          <c:order val="5"/>
          <c:tx>
            <c:strRef>
              <c:f>Ergebnis!$K$11</c:f>
              <c:strCache>
                <c:ptCount val="1"/>
                <c:pt idx="0">
                  <c:v>Gesamt 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Ergebnis!$M$11</c:f>
              <c:numCache>
                <c:formatCode>"€"#,##0_);[Red]\("€"#,##0\)</c:formatCode>
                <c:ptCount val="1"/>
                <c:pt idx="0">
                  <c:v>37507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0250-4B88-B09B-EE0A07E3D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6"/>
        <c:gapDepth val="232"/>
        <c:shape val="box"/>
        <c:axId val="1925133951"/>
        <c:axId val="1925122719"/>
        <c:axId val="0"/>
      </c:bar3DChart>
      <c:catAx>
        <c:axId val="192513395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5122719"/>
        <c:crosses val="autoZero"/>
        <c:auto val="1"/>
        <c:lblAlgn val="ctr"/>
        <c:lblOffset val="100"/>
        <c:noMultiLvlLbl val="0"/>
      </c:catAx>
      <c:valAx>
        <c:axId val="1925122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2513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Kapitalwerte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0"/>
      <c:rotY val="20"/>
      <c:depthPercent val="100"/>
      <c:rAngAx val="0"/>
      <c:perspective val="1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ysClr val="windowText" lastClr="000000"/>
          </a:solidFill>
        </a:ln>
        <a:effectLst/>
        <a:sp3d>
          <a:contourClr>
            <a:sysClr val="windowText" lastClr="000000"/>
          </a:contourClr>
        </a:sp3d>
      </c:spPr>
    </c:sideWall>
    <c:backWall>
      <c:thickness val="0"/>
      <c:spPr>
        <a:noFill/>
        <a:ln>
          <a:solidFill>
            <a:sysClr val="windowText" lastClr="000000"/>
          </a:solidFill>
        </a:ln>
        <a:effectLst/>
        <a:scene3d>
          <a:camera prst="orthographicFront"/>
          <a:lightRig rig="threePt" dir="t"/>
        </a:scene3d>
        <a:sp3d>
          <a:contourClr>
            <a:sysClr val="windowText" lastClr="000000"/>
          </a:contourClr>
        </a:sp3d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Neutral</c:v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  <a:sp3d>
              <a:contourClr>
                <a:sysClr val="windowText" lastClr="000000"/>
              </a:contourClr>
            </a:sp3d>
          </c:spPr>
          <c:invertIfNegative val="0"/>
          <c:cat>
            <c:strLit>
              <c:ptCount val="1"/>
              <c:pt idx="0">
                <c:v>Kapitalwert</c:v>
              </c:pt>
            </c:strLit>
          </c:cat>
          <c:val>
            <c:numRef>
              <c:f>'Wirtschaftlichkeit (Neutral)'!$C$44</c:f>
              <c:numCache>
                <c:formatCode>"€"#,##0_);[Red]\("€"#,##0\)</c:formatCode>
                <c:ptCount val="1"/>
                <c:pt idx="0">
                  <c:v>506542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D4-4955-A9D4-F58E98BE4496}"/>
            </c:ext>
          </c:extLst>
        </c:ser>
        <c:ser>
          <c:idx val="1"/>
          <c:order val="1"/>
          <c:tx>
            <c:v>Best Case</c:v>
          </c:tx>
          <c:spPr>
            <a:solidFill>
              <a:schemeClr val="accent6"/>
            </a:solidFill>
            <a:ln>
              <a:solidFill>
                <a:sysClr val="windowText" lastClr="000000"/>
              </a:solidFill>
            </a:ln>
            <a:effectLst/>
            <a:sp3d>
              <a:contourClr>
                <a:sysClr val="windowText" lastClr="000000"/>
              </a:contourClr>
            </a:sp3d>
          </c:spPr>
          <c:invertIfNegative val="0"/>
          <c:cat>
            <c:strLit>
              <c:ptCount val="1"/>
              <c:pt idx="0">
                <c:v>Kapitalwert</c:v>
              </c:pt>
            </c:strLit>
          </c:cat>
          <c:val>
            <c:numRef>
              <c:f>'Wirtschaftlichkeit (Positiv)'!$C$43</c:f>
              <c:numCache>
                <c:formatCode>"€"#,##0_);[Red]\("€"#,##0\)</c:formatCode>
                <c:ptCount val="1"/>
                <c:pt idx="0">
                  <c:v>744427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D4-4955-A9D4-F58E98BE4496}"/>
            </c:ext>
          </c:extLst>
        </c:ser>
        <c:ser>
          <c:idx val="2"/>
          <c:order val="2"/>
          <c:tx>
            <c:v>Worst Case</c:v>
          </c:tx>
          <c:spPr>
            <a:solidFill>
              <a:srgbClr val="FF5050"/>
            </a:solidFill>
            <a:ln>
              <a:solidFill>
                <a:sysClr val="windowText" lastClr="000000"/>
              </a:solidFill>
            </a:ln>
            <a:effectLst/>
            <a:sp3d>
              <a:contourClr>
                <a:sysClr val="windowText" lastClr="000000"/>
              </a:contourClr>
            </a:sp3d>
          </c:spPr>
          <c:invertIfNegative val="0"/>
          <c:cat>
            <c:strLit>
              <c:ptCount val="1"/>
              <c:pt idx="0">
                <c:v>Kapitalwert</c:v>
              </c:pt>
            </c:strLit>
          </c:cat>
          <c:val>
            <c:numRef>
              <c:f>'Wirtschaftlichkeit (Negativ)'!$C$44</c:f>
              <c:numCache>
                <c:formatCode>"€"#,##0_);[Red]\("€"#,##0\)</c:formatCode>
                <c:ptCount val="1"/>
                <c:pt idx="0">
                  <c:v>268658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D4-4955-A9D4-F58E98BE4496}"/>
            </c:ext>
          </c:extLst>
        </c:ser>
        <c:ser>
          <c:idx val="3"/>
          <c:order val="3"/>
          <c:tx>
            <c:strRef>
              <c:f>Sensitivitätsanalyse!$D$28</c:f>
              <c:strCache>
                <c:ptCount val="1"/>
                <c:pt idx="0">
                  <c:v>Sensitivitätsanalyse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Text" lastClr="000000"/>
              </a:solidFill>
            </a:ln>
            <a:effectLst/>
            <a:sp3d>
              <a:contourClr>
                <a:sysClr val="windowText" lastClr="000000"/>
              </a:contourClr>
            </a:sp3d>
          </c:spPr>
          <c:invertIfNegative val="0"/>
          <c:cat>
            <c:strLit>
              <c:ptCount val="1"/>
              <c:pt idx="0">
                <c:v>Kapitalwert</c:v>
              </c:pt>
            </c:strLit>
          </c:cat>
          <c:val>
            <c:numRef>
              <c:f>Sensitivitätsanalyse!$I$46</c:f>
              <c:numCache>
                <c:formatCode>"€"#,##0_);[Red]\("€"#,##0\)</c:formatCode>
                <c:ptCount val="1"/>
                <c:pt idx="0">
                  <c:v>203547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D4-4955-A9D4-F58E98BE44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23457599"/>
        <c:axId val="23461343"/>
        <c:axId val="0"/>
      </c:bar3DChart>
      <c:catAx>
        <c:axId val="2345759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461343"/>
        <c:crosses val="autoZero"/>
        <c:auto val="1"/>
        <c:lblAlgn val="ctr"/>
        <c:lblOffset val="100"/>
        <c:noMultiLvlLbl val="0"/>
      </c:catAx>
      <c:valAx>
        <c:axId val="23461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345759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Amortisation (Sensitivitätsanalyse)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val>
            <c:numRef>
              <c:f>Sensitivitätsanalyse!$J$42:$AN$42</c:f>
              <c:numCache>
                <c:formatCode>"€"#,##0_);[Red]\("€"#,##0\)</c:formatCode>
                <c:ptCount val="31"/>
                <c:pt idx="0">
                  <c:v>-330000</c:v>
                </c:pt>
                <c:pt idx="1">
                  <c:v>-300154.22829005483</c:v>
                </c:pt>
                <c:pt idx="2">
                  <c:v>-270291.41505749058</c:v>
                </c:pt>
                <c:pt idx="3">
                  <c:v>-240417.57878531163</c:v>
                </c:pt>
                <c:pt idx="4">
                  <c:v>-210538.53245677607</c:v>
                </c:pt>
                <c:pt idx="5">
                  <c:v>-233909.98395879983</c:v>
                </c:pt>
                <c:pt idx="6">
                  <c:v>-204037.16443692235</c:v>
                </c:pt>
                <c:pt idx="7">
                  <c:v>-174175.40023732767</c:v>
                </c:pt>
                <c:pt idx="8">
                  <c:v>-144329.74093310858</c:v>
                </c:pt>
                <c:pt idx="9">
                  <c:v>-114505.05906999775</c:v>
                </c:pt>
                <c:pt idx="10">
                  <c:v>-136261.91994714946</c:v>
                </c:pt>
                <c:pt idx="11">
                  <c:v>-106493.12843233004</c:v>
                </c:pt>
                <c:pt idx="12">
                  <c:v>-76758.921266577556</c:v>
                </c:pt>
                <c:pt idx="13">
                  <c:v>-47063.513594605247</c:v>
                </c:pt>
                <c:pt idx="14">
                  <c:v>-17410.968175774564</c:v>
                </c:pt>
                <c:pt idx="15">
                  <c:v>-137551.81736849772</c:v>
                </c:pt>
                <c:pt idx="16">
                  <c:v>-107996.59763913677</c:v>
                </c:pt>
                <c:pt idx="17">
                  <c:v>-78495.558639219234</c:v>
                </c:pt>
                <c:pt idx="18">
                  <c:v>-49052.197467606362</c:v>
                </c:pt>
                <c:pt idx="19">
                  <c:v>-19669.880161231009</c:v>
                </c:pt>
                <c:pt idx="20">
                  <c:v>-38679.248708561281</c:v>
                </c:pt>
                <c:pt idx="21">
                  <c:v>-9428.6124170746443</c:v>
                </c:pt>
                <c:pt idx="22">
                  <c:v>19751.629758829378</c:v>
                </c:pt>
                <c:pt idx="23">
                  <c:v>48858.598064106467</c:v>
                </c:pt>
                <c:pt idx="24">
                  <c:v>77889.52535728224</c:v>
                </c:pt>
                <c:pt idx="25">
                  <c:v>60051.957797226249</c:v>
                </c:pt>
                <c:pt idx="26">
                  <c:v>88922.935295527874</c:v>
                </c:pt>
                <c:pt idx="27">
                  <c:v>117710.21272488357</c:v>
                </c:pt>
                <c:pt idx="28">
                  <c:v>146411.44055664426</c:v>
                </c:pt>
                <c:pt idx="29">
                  <c:v>175024.36591808495</c:v>
                </c:pt>
                <c:pt idx="30">
                  <c:v>203546.82966962832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65-48B5-867C-6918D48236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30304"/>
        <c:axId val="74531136"/>
      </c:barChart>
      <c:catAx>
        <c:axId val="74530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4531136"/>
        <c:crosses val="autoZero"/>
        <c:auto val="1"/>
        <c:lblAlgn val="ctr"/>
        <c:lblOffset val="100"/>
        <c:noMultiLvlLbl val="0"/>
      </c:catAx>
      <c:valAx>
        <c:axId val="7453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453030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Verlauf Preissteigerung Betriebsmittel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'Wirtschaftlichkeit (Neutral)'!$E$28:$AH$28</c:f>
              <c:numCache>
                <c:formatCode>_-* #,##0\ "€"_-;\-* #,##0\ "€"_-;_-* "-"??\ "€"_-;_-@_-</c:formatCode>
                <c:ptCount val="30"/>
                <c:pt idx="0">
                  <c:v>3300</c:v>
                </c:pt>
                <c:pt idx="1">
                  <c:v>3300</c:v>
                </c:pt>
                <c:pt idx="2">
                  <c:v>3300</c:v>
                </c:pt>
                <c:pt idx="3">
                  <c:v>3300</c:v>
                </c:pt>
                <c:pt idx="4">
                  <c:v>3300</c:v>
                </c:pt>
                <c:pt idx="5">
                  <c:v>3300</c:v>
                </c:pt>
                <c:pt idx="6">
                  <c:v>3300</c:v>
                </c:pt>
                <c:pt idx="7">
                  <c:v>3300</c:v>
                </c:pt>
                <c:pt idx="8">
                  <c:v>3300</c:v>
                </c:pt>
                <c:pt idx="9">
                  <c:v>3300</c:v>
                </c:pt>
                <c:pt idx="10">
                  <c:v>3300</c:v>
                </c:pt>
                <c:pt idx="11">
                  <c:v>3300</c:v>
                </c:pt>
                <c:pt idx="12">
                  <c:v>3300</c:v>
                </c:pt>
                <c:pt idx="13">
                  <c:v>3300</c:v>
                </c:pt>
                <c:pt idx="14">
                  <c:v>3300</c:v>
                </c:pt>
                <c:pt idx="15">
                  <c:v>3300</c:v>
                </c:pt>
                <c:pt idx="16">
                  <c:v>3300</c:v>
                </c:pt>
                <c:pt idx="17">
                  <c:v>3300</c:v>
                </c:pt>
                <c:pt idx="18">
                  <c:v>3300</c:v>
                </c:pt>
                <c:pt idx="19">
                  <c:v>3300</c:v>
                </c:pt>
                <c:pt idx="20">
                  <c:v>3300</c:v>
                </c:pt>
                <c:pt idx="21">
                  <c:v>3300</c:v>
                </c:pt>
                <c:pt idx="22">
                  <c:v>3300</c:v>
                </c:pt>
                <c:pt idx="23">
                  <c:v>3300</c:v>
                </c:pt>
                <c:pt idx="24">
                  <c:v>3300</c:v>
                </c:pt>
                <c:pt idx="25">
                  <c:v>3300</c:v>
                </c:pt>
                <c:pt idx="26">
                  <c:v>3300</c:v>
                </c:pt>
                <c:pt idx="27">
                  <c:v>3300</c:v>
                </c:pt>
                <c:pt idx="28">
                  <c:v>3300</c:v>
                </c:pt>
                <c:pt idx="29">
                  <c:v>3300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E-4A18-A5FC-D586138A6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5039999"/>
        <c:axId val="435038335"/>
      </c:lineChart>
      <c:catAx>
        <c:axId val="4350399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35038335"/>
        <c:crosses val="autoZero"/>
        <c:auto val="1"/>
        <c:lblAlgn val="ctr"/>
        <c:lblOffset val="100"/>
        <c:noMultiLvlLbl val="0"/>
      </c:catAx>
      <c:valAx>
        <c:axId val="435038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&quot;€&quot;_-;\-* #,##0\ &quot;€&quot;_-;_-* &quot;-&quot;??\ &quot;€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35039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Verlauf Preissteigerung</a:t>
            </a:r>
            <a:r>
              <a:rPr lang="de-DE" baseline="0"/>
              <a:t> Erlöse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'Wirtschaftlichkeit (Neutral)'!$E$34:$AH$34</c:f>
              <c:numCache>
                <c:formatCode>_-* #,##0\ "€"_-;\-* #,##0\ "€"_-;_-* "-"??\ "€"_-;_-@_-</c:formatCode>
                <c:ptCount val="30"/>
                <c:pt idx="0">
                  <c:v>177480</c:v>
                </c:pt>
                <c:pt idx="1">
                  <c:v>181029.6</c:v>
                </c:pt>
                <c:pt idx="2">
                  <c:v>184650.19200000001</c:v>
                </c:pt>
                <c:pt idx="3">
                  <c:v>188343.19584</c:v>
                </c:pt>
                <c:pt idx="4">
                  <c:v>192110.05975680001</c:v>
                </c:pt>
                <c:pt idx="5">
                  <c:v>195952.26095193601</c:v>
                </c:pt>
                <c:pt idx="6">
                  <c:v>199871.30617097474</c:v>
                </c:pt>
                <c:pt idx="7">
                  <c:v>203868.73229439423</c:v>
                </c:pt>
                <c:pt idx="8">
                  <c:v>207946.1069402821</c:v>
                </c:pt>
                <c:pt idx="9">
                  <c:v>212105.02907908778</c:v>
                </c:pt>
                <c:pt idx="10">
                  <c:v>216347.12966066954</c:v>
                </c:pt>
                <c:pt idx="11">
                  <c:v>220674.07225388294</c:v>
                </c:pt>
                <c:pt idx="12">
                  <c:v>225087.5536989606</c:v>
                </c:pt>
                <c:pt idx="13">
                  <c:v>229589.30477293982</c:v>
                </c:pt>
                <c:pt idx="14">
                  <c:v>234181.09086839863</c:v>
                </c:pt>
                <c:pt idx="15">
                  <c:v>238864.7126857666</c:v>
                </c:pt>
                <c:pt idx="16">
                  <c:v>243642.00693948194</c:v>
                </c:pt>
                <c:pt idx="17">
                  <c:v>248514.84707827159</c:v>
                </c:pt>
                <c:pt idx="18">
                  <c:v>253485.14401983703</c:v>
                </c:pt>
                <c:pt idx="19">
                  <c:v>258554.84690023377</c:v>
                </c:pt>
                <c:pt idx="20">
                  <c:v>263725.94383823843</c:v>
                </c:pt>
                <c:pt idx="21">
                  <c:v>269000.46271500323</c:v>
                </c:pt>
                <c:pt idx="22">
                  <c:v>274380.47196930327</c:v>
                </c:pt>
                <c:pt idx="23">
                  <c:v>279868.08140868938</c:v>
                </c:pt>
                <c:pt idx="24">
                  <c:v>285465.44303686317</c:v>
                </c:pt>
                <c:pt idx="25">
                  <c:v>291174.75189760042</c:v>
                </c:pt>
                <c:pt idx="26">
                  <c:v>296998.24693555245</c:v>
                </c:pt>
                <c:pt idx="27">
                  <c:v>302938.21187426348</c:v>
                </c:pt>
                <c:pt idx="28">
                  <c:v>308996.97611174878</c:v>
                </c:pt>
                <c:pt idx="29">
                  <c:v>315176.91563398379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45-494A-95FF-24000F1AF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828271"/>
        <c:axId val="555819119"/>
      </c:lineChart>
      <c:catAx>
        <c:axId val="55582827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5819119"/>
        <c:crosses val="autoZero"/>
        <c:auto val="1"/>
        <c:lblAlgn val="ctr"/>
        <c:lblOffset val="100"/>
        <c:noMultiLvlLbl val="0"/>
      </c:catAx>
      <c:valAx>
        <c:axId val="555819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&quot;€&quot;_-;\-* #,##0\ &quot;€&quot;_-;_-* &quot;-&quot;??\ &quot;€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5828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Verlauf Preissteigerung Betriebsmittel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'Wirtschaftlichkeit (Negativ)'!#REF!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1A-46E6-AA8A-E2F57062F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5039999"/>
        <c:axId val="435038335"/>
      </c:lineChart>
      <c:catAx>
        <c:axId val="4350399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35038335"/>
        <c:crosses val="autoZero"/>
        <c:auto val="1"/>
        <c:lblAlgn val="ctr"/>
        <c:lblOffset val="100"/>
        <c:noMultiLvlLbl val="0"/>
      </c:catAx>
      <c:valAx>
        <c:axId val="435038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35039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Verlauf Preissteigerung</a:t>
            </a:r>
            <a:r>
              <a:rPr lang="de-DE" baseline="0"/>
              <a:t> Erlöse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'Wirtschaftlichkeit (Negativ)'!$E$17:$AH$17</c:f>
              <c:numCache>
                <c:formatCode>_-* #,##0\ "€"_-;\-* #,##0\ "€"_-;_-* "-"?\ "€"_-;_-@_-</c:formatCode>
                <c:ptCount val="30"/>
                <c:pt idx="0">
                  <c:v>36983.999999999993</c:v>
                </c:pt>
                <c:pt idx="1">
                  <c:v>37168.919999999991</c:v>
                </c:pt>
                <c:pt idx="2">
                  <c:v>37354.764599999988</c:v>
                </c:pt>
                <c:pt idx="3">
                  <c:v>37541.538422999984</c:v>
                </c:pt>
                <c:pt idx="4">
                  <c:v>37729.246115114976</c:v>
                </c:pt>
                <c:pt idx="5">
                  <c:v>37917.892345690547</c:v>
                </c:pt>
                <c:pt idx="6">
                  <c:v>38107.481807418997</c:v>
                </c:pt>
                <c:pt idx="7">
                  <c:v>38298.019216456087</c:v>
                </c:pt>
                <c:pt idx="8">
                  <c:v>38489.509312538365</c:v>
                </c:pt>
                <c:pt idx="9">
                  <c:v>38681.956859101054</c:v>
                </c:pt>
                <c:pt idx="10">
                  <c:v>38875.366643396555</c:v>
                </c:pt>
                <c:pt idx="11">
                  <c:v>39069.743476613534</c:v>
                </c:pt>
                <c:pt idx="12">
                  <c:v>39265.092193996599</c:v>
                </c:pt>
                <c:pt idx="13">
                  <c:v>39461.417654966579</c:v>
                </c:pt>
                <c:pt idx="14">
                  <c:v>39658.724743241408</c:v>
                </c:pt>
                <c:pt idx="15">
                  <c:v>39857.018366957607</c:v>
                </c:pt>
                <c:pt idx="16">
                  <c:v>40056.30345879239</c:v>
                </c:pt>
                <c:pt idx="17">
                  <c:v>40256.584976086349</c:v>
                </c:pt>
                <c:pt idx="18">
                  <c:v>40457.867900966776</c:v>
                </c:pt>
                <c:pt idx="19">
                  <c:v>40660.157240471606</c:v>
                </c:pt>
                <c:pt idx="20">
                  <c:v>40863.458026673958</c:v>
                </c:pt>
                <c:pt idx="21">
                  <c:v>41067.775316807325</c:v>
                </c:pt>
                <c:pt idx="22">
                  <c:v>41273.11419339136</c:v>
                </c:pt>
                <c:pt idx="23">
                  <c:v>41479.479764358315</c:v>
                </c:pt>
                <c:pt idx="24">
                  <c:v>41686.877163180099</c:v>
                </c:pt>
                <c:pt idx="25">
                  <c:v>41895.311548995996</c:v>
                </c:pt>
                <c:pt idx="26">
                  <c:v>42104.788106740969</c:v>
                </c:pt>
                <c:pt idx="27">
                  <c:v>42315.312047274667</c:v>
                </c:pt>
                <c:pt idx="28">
                  <c:v>42526.888607511035</c:v>
                </c:pt>
                <c:pt idx="29">
                  <c:v>42739.523050548589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69-4558-9247-2822B2852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828271"/>
        <c:axId val="555819119"/>
      </c:lineChart>
      <c:catAx>
        <c:axId val="55582827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5819119"/>
        <c:crosses val="autoZero"/>
        <c:auto val="1"/>
        <c:lblAlgn val="ctr"/>
        <c:lblOffset val="100"/>
        <c:noMultiLvlLbl val="0"/>
      </c:catAx>
      <c:valAx>
        <c:axId val="555819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&quot;€&quot;_-;\-* #,##0\ &quot;€&quot;_-;_-* &quot;-&quot;?\ &quot;€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5828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Verlauf Preissteigerung Betriebsmittel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'Wirtschaftlichkeit (Positiv)'!#REF!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D5-47F8-8C13-106785B3F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5039999"/>
        <c:axId val="435038335"/>
      </c:lineChart>
      <c:catAx>
        <c:axId val="4350399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35038335"/>
        <c:crosses val="autoZero"/>
        <c:auto val="1"/>
        <c:lblAlgn val="ctr"/>
        <c:lblOffset val="100"/>
        <c:noMultiLvlLbl val="0"/>
      </c:catAx>
      <c:valAx>
        <c:axId val="435038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35039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Annuität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0"/>
      <c:rotY val="13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ysClr val="windowText" lastClr="000000"/>
          </a:solidFill>
        </a:ln>
        <a:effectLst/>
        <a:sp3d>
          <a:contourClr>
            <a:sysClr val="windowText" lastClr="000000"/>
          </a:contourClr>
        </a:sp3d>
      </c:spPr>
    </c:sideWall>
    <c:backWall>
      <c:thickness val="0"/>
      <c:spPr>
        <a:noFill/>
        <a:ln>
          <a:solidFill>
            <a:sysClr val="windowText" lastClr="000000"/>
          </a:solidFill>
        </a:ln>
        <a:effectLst/>
        <a:sp3d>
          <a:contourClr>
            <a:sysClr val="windowText" lastClr="000000"/>
          </a:contourClr>
        </a:sp3d>
      </c:spPr>
    </c:backWall>
    <c:plotArea>
      <c:layout>
        <c:manualLayout>
          <c:layoutTarget val="inner"/>
          <c:xMode val="edge"/>
          <c:yMode val="edge"/>
          <c:x val="6.4786183159336777E-2"/>
          <c:y val="9.1328150509161876E-2"/>
          <c:w val="0.81170910590004453"/>
          <c:h val="0.81276171433612654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Ergebnis!$R$5</c:f>
              <c:strCache>
                <c:ptCount val="1"/>
                <c:pt idx="0">
                  <c:v>Investition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Ergebnis!$T$5</c:f>
              <c:numCache>
                <c:formatCode>"€"#,##0_);[Red]\("€"#,##0\)</c:formatCode>
                <c:ptCount val="1"/>
                <c:pt idx="0">
                  <c:v>-46229.676900547303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6111-4999-AB5E-081DAD1616FE}"/>
            </c:ext>
          </c:extLst>
        </c:ser>
        <c:ser>
          <c:idx val="1"/>
          <c:order val="1"/>
          <c:tx>
            <c:strRef>
              <c:f>Ergebnis!$R$6</c:f>
              <c:strCache>
                <c:ptCount val="1"/>
                <c:pt idx="0">
                  <c:v>Betriebskosten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Ergebnis!$T$6</c:f>
              <c:numCache>
                <c:formatCode>"€"#,##0_);[Red]\("€"#,##0\)</c:formatCode>
                <c:ptCount val="1"/>
                <c:pt idx="0">
                  <c:v>-71625.784148845909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6111-4999-AB5E-081DAD1616FE}"/>
            </c:ext>
          </c:extLst>
        </c:ser>
        <c:ser>
          <c:idx val="2"/>
          <c:order val="2"/>
          <c:tx>
            <c:strRef>
              <c:f>Ergebnis!$R$7</c:f>
              <c:strCache>
                <c:ptCount val="1"/>
                <c:pt idx="0">
                  <c:v>Betriebsmittel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Ergebnis!$T$7</c:f>
              <c:numCache>
                <c:formatCode>"€"#,##0_);[Red]\("€"#,##0\)</c:formatCode>
                <c:ptCount val="1"/>
                <c:pt idx="0">
                  <c:v>-31005.817658919594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6111-4999-AB5E-081DAD1616FE}"/>
            </c:ext>
          </c:extLst>
        </c:ser>
        <c:ser>
          <c:idx val="3"/>
          <c:order val="3"/>
          <c:tx>
            <c:strRef>
              <c:f>Ergebnis!$R$8</c:f>
              <c:strCache>
                <c:ptCount val="1"/>
                <c:pt idx="0">
                  <c:v>Sonstige Kosten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Ergebnis!$T$8</c:f>
              <c:numCache>
                <c:formatCode>"€"#,##0_);[Red]\("€"#,##0\)</c:formatCode>
                <c:ptCount val="1"/>
                <c:pt idx="0">
                  <c:v>-67679.186105246539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6111-4999-AB5E-081DAD1616FE}"/>
            </c:ext>
          </c:extLst>
        </c:ser>
        <c:ser>
          <c:idx val="4"/>
          <c:order val="4"/>
          <c:tx>
            <c:strRef>
              <c:f>Ergebnis!$R$9</c:f>
              <c:strCache>
                <c:ptCount val="1"/>
                <c:pt idx="0">
                  <c:v>Erlöse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Ergebnis!$T$9</c:f>
              <c:numCache>
                <c:formatCode>"€"#,##0_);[Red]\("€"#,##0\)</c:formatCode>
                <c:ptCount val="1"/>
                <c:pt idx="0">
                  <c:v>230076.42295525697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6111-4999-AB5E-081DAD1616FE}"/>
            </c:ext>
          </c:extLst>
        </c:ser>
        <c:ser>
          <c:idx val="5"/>
          <c:order val="5"/>
          <c:tx>
            <c:strRef>
              <c:f>Ergebnis!$R$11</c:f>
              <c:strCache>
                <c:ptCount val="1"/>
                <c:pt idx="0">
                  <c:v>Gesamt 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Ergebnis!$T$11</c:f>
              <c:numCache>
                <c:formatCode>"€"#,##0_);[Red]\("€"#,##0\)</c:formatCode>
                <c:ptCount val="1"/>
                <c:pt idx="0">
                  <c:v>13536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6111-4999-AB5E-081DAD161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6"/>
        <c:gapDepth val="232"/>
        <c:shape val="box"/>
        <c:axId val="1925133951"/>
        <c:axId val="1925122719"/>
        <c:axId val="0"/>
      </c:bar3DChart>
      <c:catAx>
        <c:axId val="192513395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5122719"/>
        <c:crosses val="autoZero"/>
        <c:auto val="1"/>
        <c:lblAlgn val="ctr"/>
        <c:lblOffset val="100"/>
        <c:noMultiLvlLbl val="0"/>
      </c:catAx>
      <c:valAx>
        <c:axId val="1925122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2513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Jahreskosten</a:t>
            </a:r>
          </a:p>
        </c:rich>
      </c:tx>
      <c:overlay val="0"/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accen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5D26-4172-BA12-9FD5FE73483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5D26-4172-BA12-9FD5FE73483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bg1">
                    <a:lumMod val="65000"/>
                  </a:schemeClr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5D26-4172-BA12-9FD5FE73483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accent4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5D26-4172-BA12-9FD5FE73483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accent5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5D26-4172-BA12-9FD5FE734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accent6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5D26-4172-BA12-9FD5FE7348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accent1">
                    <a:lumMod val="50000"/>
                  </a:schemeClr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9-5D26-4172-BA12-9FD5FE73483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B-5D26-4172-BA12-9FD5FE73483A}"/>
              </c:ext>
            </c:extLst>
          </c:dPt>
          <c:dPt>
            <c:idx val="8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>
                    <a:lumMod val="65000"/>
                    <a:lumOff val="3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1-5973-486B-AA06-35B2AB96C5D4}"/>
              </c:ext>
            </c:extLst>
          </c:dPt>
          <c:dLbls>
            <c:dLbl>
              <c:idx val="0"/>
              <c:layout>
                <c:manualLayout>
                  <c:x val="7.8459755030621178E-2"/>
                  <c:y val="3.47222222222222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D26-4172-BA12-9FD5FE73483A}"/>
                </c:ext>
              </c:extLst>
            </c:dLbl>
            <c:dLbl>
              <c:idx val="1"/>
              <c:layout>
                <c:manualLayout>
                  <c:x val="0.14935083114610673"/>
                  <c:y val="5.902777777777777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D26-4172-BA12-9FD5FE73483A}"/>
                </c:ext>
              </c:extLst>
            </c:dLbl>
            <c:dLbl>
              <c:idx val="2"/>
              <c:layout>
                <c:manualLayout>
                  <c:x val="0.13988976377952755"/>
                  <c:y val="0.1222320647419072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D26-4172-BA12-9FD5FE73483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Hilfsblatt!$A$34:$A$42</c:f>
              <c:strCache>
                <c:ptCount val="9"/>
                <c:pt idx="0">
                  <c:v>Strom</c:v>
                </c:pt>
                <c:pt idx="1">
                  <c:v>Wärme</c:v>
                </c:pt>
                <c:pt idx="2">
                  <c:v>Wasser</c:v>
                </c:pt>
                <c:pt idx="3">
                  <c:v>Personal</c:v>
                </c:pt>
                <c:pt idx="4">
                  <c:v>Betriebsmittel</c:v>
                </c:pt>
                <c:pt idx="5">
                  <c:v>Transport/Entsorgung</c:v>
                </c:pt>
                <c:pt idx="6">
                  <c:v>Wartung</c:v>
                </c:pt>
                <c:pt idx="7">
                  <c:v>Versicherung</c:v>
                </c:pt>
                <c:pt idx="8">
                  <c:v>Abschreibung</c:v>
                </c:pt>
              </c:strCache>
            </c:strRef>
          </c:cat>
          <c:val>
            <c:numRef>
              <c:f>Hilfsblatt!$C$34:$C$42</c:f>
              <c:numCache>
                <c:formatCode>_-* #,##0\ "€"_-;\-* #,##0\ "€"_-;_-* "-"??\ "€"_-;_-@_-</c:formatCode>
                <c:ptCount val="9"/>
                <c:pt idx="0">
                  <c:v>3120</c:v>
                </c:pt>
                <c:pt idx="1">
                  <c:v>780</c:v>
                </c:pt>
                <c:pt idx="2">
                  <c:v>13877.499999999998</c:v>
                </c:pt>
                <c:pt idx="3">
                  <c:v>23920</c:v>
                </c:pt>
                <c:pt idx="4">
                  <c:v>16380</c:v>
                </c:pt>
                <c:pt idx="5">
                  <c:v>54000</c:v>
                </c:pt>
                <c:pt idx="6">
                  <c:v>5500</c:v>
                </c:pt>
                <c:pt idx="7">
                  <c:v>2750</c:v>
                </c:pt>
                <c:pt idx="8">
                  <c:v>19066.666666666664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5D26-4172-BA12-9FD5FE7348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Annuität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0"/>
      <c:rotY val="13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ysClr val="windowText" lastClr="000000"/>
          </a:solidFill>
        </a:ln>
        <a:effectLst/>
        <a:sp3d>
          <a:contourClr>
            <a:sysClr val="windowText" lastClr="000000"/>
          </a:contourClr>
        </a:sp3d>
      </c:spPr>
    </c:sideWall>
    <c:backWall>
      <c:thickness val="0"/>
      <c:spPr>
        <a:noFill/>
        <a:ln>
          <a:solidFill>
            <a:sysClr val="windowText" lastClr="000000"/>
          </a:solidFill>
        </a:ln>
        <a:effectLst/>
        <a:sp3d>
          <a:contourClr>
            <a:sysClr val="windowText" lastClr="000000"/>
          </a:contourClr>
        </a:sp3d>
      </c:spPr>
    </c:backWall>
    <c:plotArea>
      <c:layout>
        <c:manualLayout>
          <c:layoutTarget val="inner"/>
          <c:xMode val="edge"/>
          <c:yMode val="edge"/>
          <c:x val="6.4786183159336777E-2"/>
          <c:y val="9.1328150509161876E-2"/>
          <c:w val="0.81170910590004453"/>
          <c:h val="0.81276171433612654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Ergebnis!$D$5</c:f>
              <c:strCache>
                <c:ptCount val="1"/>
                <c:pt idx="0">
                  <c:v>Investition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Ergebnis!$F$5</c:f>
              <c:numCache>
                <c:formatCode>"€"#,##0_);[Red]\("€"#,##0\)</c:formatCode>
                <c:ptCount val="1"/>
                <c:pt idx="0">
                  <c:v>-34244.223772110403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C9A-4025-85C3-5AF57FEEA9DC}"/>
            </c:ext>
          </c:extLst>
        </c:ser>
        <c:ser>
          <c:idx val="1"/>
          <c:order val="1"/>
          <c:tx>
            <c:strRef>
              <c:f>Ergebnis!$D$6</c:f>
              <c:strCache>
                <c:ptCount val="1"/>
                <c:pt idx="0">
                  <c:v>Betriebskosten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Ergebnis!$F$6</c:f>
              <c:numCache>
                <c:formatCode>"€"#,##0_);[Red]\("€"#,##0\)</c:formatCode>
                <c:ptCount val="1"/>
                <c:pt idx="0">
                  <c:v>-71625.784148845909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C9A-4025-85C3-5AF57FEEA9DC}"/>
            </c:ext>
          </c:extLst>
        </c:ser>
        <c:ser>
          <c:idx val="2"/>
          <c:order val="2"/>
          <c:tx>
            <c:strRef>
              <c:f>Ergebnis!$D$7</c:f>
              <c:strCache>
                <c:ptCount val="1"/>
                <c:pt idx="0">
                  <c:v>Betriebsmittel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p3d>
              <a:contourClr>
                <a:schemeClr val="accent2">
                  <a:lumMod val="50000"/>
                </a:schemeClr>
              </a:contourClr>
            </a:sp3d>
          </c:spPr>
          <c:invertIfNegative val="0"/>
          <c:val>
            <c:numRef>
              <c:f>Ergebnis!$F$7</c:f>
              <c:numCache>
                <c:formatCode>"€"#,##0_);[Red]\("€"#,##0\)</c:formatCode>
                <c:ptCount val="1"/>
                <c:pt idx="0">
                  <c:v>-31005.817658919594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CC9A-4025-85C3-5AF57FEEA9DC}"/>
            </c:ext>
          </c:extLst>
        </c:ser>
        <c:ser>
          <c:idx val="3"/>
          <c:order val="3"/>
          <c:tx>
            <c:strRef>
              <c:f>Ergebnis!$D$8</c:f>
              <c:strCache>
                <c:ptCount val="1"/>
                <c:pt idx="0">
                  <c:v>Sonstige Kosten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Ergebnis!$F$8</c:f>
              <c:numCache>
                <c:formatCode>"€"#,##0_);[Red]\("€"#,##0\)</c:formatCode>
                <c:ptCount val="1"/>
                <c:pt idx="0">
                  <c:v>-67679.186105246539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CC9A-4025-85C3-5AF57FEEA9DC}"/>
            </c:ext>
          </c:extLst>
        </c:ser>
        <c:ser>
          <c:idx val="4"/>
          <c:order val="4"/>
          <c:tx>
            <c:strRef>
              <c:f>Ergebnis!$D$9</c:f>
              <c:strCache>
                <c:ptCount val="1"/>
                <c:pt idx="0">
                  <c:v>Erlöse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Ergebnis!$F$9</c:f>
              <c:numCache>
                <c:formatCode>"€"#,##0_);[Red]\("€"#,##0\)</c:formatCode>
                <c:ptCount val="1"/>
                <c:pt idx="0">
                  <c:v>230076.42295525697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CC9A-4025-85C3-5AF57FEEA9DC}"/>
            </c:ext>
          </c:extLst>
        </c:ser>
        <c:ser>
          <c:idx val="5"/>
          <c:order val="5"/>
          <c:tx>
            <c:strRef>
              <c:f>Ergebnis!$D$11</c:f>
              <c:strCache>
                <c:ptCount val="1"/>
                <c:pt idx="0">
                  <c:v>Gesamt </c:v>
                </c:pt>
              </c:strCache>
            </c:strRef>
          </c:tx>
          <c:spPr>
            <a:solidFill>
              <a:schemeClr val="bg2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  <a:effectLst/>
              <a:sp3d>
                <a:contourClr>
                  <a:schemeClr val="tx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CC9A-4025-85C3-5AF57FEEA9DC}"/>
              </c:ext>
            </c:extLst>
          </c:dPt>
          <c:val>
            <c:numRef>
              <c:f>Ergebnis!$F$11</c:f>
              <c:numCache>
                <c:formatCode>"€"#,##0_);[Red]\("€"#,##0\)</c:formatCode>
                <c:ptCount val="1"/>
                <c:pt idx="0">
                  <c:v>25521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Ergebnis!#REF!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CC9A-4025-85C3-5AF57FEEA9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6"/>
        <c:gapDepth val="232"/>
        <c:shape val="box"/>
        <c:axId val="1925133951"/>
        <c:axId val="1925122719"/>
        <c:axId val="0"/>
      </c:bar3DChart>
      <c:catAx>
        <c:axId val="192513395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5122719"/>
        <c:crosses val="autoZero"/>
        <c:auto val="1"/>
        <c:lblAlgn val="ctr"/>
        <c:lblOffset val="100"/>
        <c:noMultiLvlLbl val="0"/>
      </c:catAx>
      <c:valAx>
        <c:axId val="1925122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2513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Amortisation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'Wirtschaftlichkeit (Neutral)'!$D$40:$AH$40</c:f>
              <c:numCache>
                <c:formatCode>"€"#,##0_);[Red]\("€"#,##0\)</c:formatCode>
                <c:ptCount val="31"/>
                <c:pt idx="0">
                  <c:v>-330000</c:v>
                </c:pt>
                <c:pt idx="1">
                  <c:v>-307581.08826441912</c:v>
                </c:pt>
                <c:pt idx="2">
                  <c:v>-283549.44471379207</c:v>
                </c:pt>
                <c:pt idx="3">
                  <c:v>-257959.7999736717</c:v>
                </c:pt>
                <c:pt idx="4">
                  <c:v>-230865.4705539741</c:v>
                </c:pt>
                <c:pt idx="5">
                  <c:v>-255568.4875589835</c:v>
                </c:pt>
                <c:pt idx="6">
                  <c:v>-225619.25269613325</c:v>
                </c:pt>
                <c:pt idx="7">
                  <c:v>-194317.13723408451</c:v>
                </c:pt>
                <c:pt idx="8">
                  <c:v>-161710.13642197195</c:v>
                </c:pt>
                <c:pt idx="9">
                  <c:v>-127844.99501938258</c:v>
                </c:pt>
                <c:pt idx="10">
                  <c:v>-144323.10226666348</c:v>
                </c:pt>
                <c:pt idx="11">
                  <c:v>-108077.06330860476</c:v>
                </c:pt>
                <c:pt idx="12">
                  <c:v>-70705.915539930967</c:v>
                </c:pt>
                <c:pt idx="13">
                  <c:v>-32251.698621939555</c:v>
                </c:pt>
                <c:pt idx="14">
                  <c:v>7244.6533621244089</c:v>
                </c:pt>
                <c:pt idx="15">
                  <c:v>-102003.33249237068</c:v>
                </c:pt>
                <c:pt idx="16">
                  <c:v>-60541.224318194596</c:v>
                </c:pt>
                <c:pt idx="17">
                  <c:v>-18153.415946039095</c:v>
                </c:pt>
                <c:pt idx="18">
                  <c:v>25123.317934403516</c:v>
                </c:pt>
                <c:pt idx="19">
                  <c:v>69253.179867093015</c:v>
                </c:pt>
                <c:pt idx="20">
                  <c:v>65873.922670772517</c:v>
                </c:pt>
                <c:pt idx="21">
                  <c:v>111606.43858645461</c:v>
                </c:pt>
                <c:pt idx="22">
                  <c:v>158090.31791424277</c:v>
                </c:pt>
                <c:pt idx="23">
                  <c:v>205293.43926377193</c:v>
                </c:pt>
                <c:pt idx="24">
                  <c:v>253184.54480190709</c:v>
                </c:pt>
                <c:pt idx="25">
                  <c:v>254943.42319244758</c:v>
                </c:pt>
                <c:pt idx="26">
                  <c:v>304120.07271123258</c:v>
                </c:pt>
                <c:pt idx="27">
                  <c:v>353895.90551763237</c:v>
                </c:pt>
                <c:pt idx="28">
                  <c:v>404242.91174636665</c:v>
                </c:pt>
                <c:pt idx="29">
                  <c:v>455133.8444012166</c:v>
                </c:pt>
                <c:pt idx="30">
                  <c:v>506542.2006420737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DD-4482-A392-36AA4F449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301680"/>
        <c:axId val="152319568"/>
      </c:barChart>
      <c:catAx>
        <c:axId val="1523016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2319568"/>
        <c:crosses val="autoZero"/>
        <c:auto val="1"/>
        <c:lblAlgn val="ctr"/>
        <c:lblOffset val="100"/>
        <c:noMultiLvlLbl val="0"/>
      </c:catAx>
      <c:valAx>
        <c:axId val="15231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230168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Kapitalwertverlauf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'Wirtschaftlichkeit (Neutral)'!$D$39:$AH$39</c:f>
              <c:numCache>
                <c:formatCode>"€"#,##0_);[Red]\("€"#,##0\)</c:formatCode>
                <c:ptCount val="31"/>
                <c:pt idx="0">
                  <c:v>-330000</c:v>
                </c:pt>
                <c:pt idx="1">
                  <c:v>22418.911735580896</c:v>
                </c:pt>
                <c:pt idx="2">
                  <c:v>24031.643550627046</c:v>
                </c:pt>
                <c:pt idx="3">
                  <c:v>25589.64474012037</c:v>
                </c:pt>
                <c:pt idx="4">
                  <c:v>27094.329419697609</c:v>
                </c:pt>
                <c:pt idx="5">
                  <c:v>-24703.017005009402</c:v>
                </c:pt>
                <c:pt idx="6">
                  <c:v>29949.234862850259</c:v>
                </c:pt>
                <c:pt idx="7">
                  <c:v>31302.115462048725</c:v>
                </c:pt>
                <c:pt idx="8">
                  <c:v>32607.000812112568</c:v>
                </c:pt>
                <c:pt idx="9">
                  <c:v>33865.141402589376</c:v>
                </c:pt>
                <c:pt idx="10">
                  <c:v>-16478.10724728091</c:v>
                </c:pt>
                <c:pt idx="11">
                  <c:v>36246.038958058722</c:v>
                </c:pt>
                <c:pt idx="12">
                  <c:v>37371.147768673793</c:v>
                </c:pt>
                <c:pt idx="13">
                  <c:v>38454.216917991413</c:v>
                </c:pt>
                <c:pt idx="14">
                  <c:v>39496.351984063964</c:v>
                </c:pt>
                <c:pt idx="15">
                  <c:v>-109247.9858544951</c:v>
                </c:pt>
                <c:pt idx="16">
                  <c:v>41462.108174176086</c:v>
                </c:pt>
                <c:pt idx="17">
                  <c:v>42387.808372155501</c:v>
                </c:pt>
                <c:pt idx="18">
                  <c:v>43276.733880442611</c:v>
                </c:pt>
                <c:pt idx="19">
                  <c:v>44129.861932689499</c:v>
                </c:pt>
                <c:pt idx="20">
                  <c:v>-3379.2571963205028</c:v>
                </c:pt>
                <c:pt idx="21">
                  <c:v>45732.515915682088</c:v>
                </c:pt>
                <c:pt idx="22">
                  <c:v>46483.87932778817</c:v>
                </c:pt>
                <c:pt idx="23">
                  <c:v>47203.121349529152</c:v>
                </c:pt>
                <c:pt idx="24">
                  <c:v>47891.105538135147</c:v>
                </c:pt>
                <c:pt idx="25">
                  <c:v>1758.8783905404925</c:v>
                </c:pt>
                <c:pt idx="26">
                  <c:v>49176.64951878498</c:v>
                </c:pt>
                <c:pt idx="27">
                  <c:v>49775.832806399769</c:v>
                </c:pt>
                <c:pt idx="28">
                  <c:v>50347.006228734288</c:v>
                </c:pt>
                <c:pt idx="29">
                  <c:v>50890.932654849952</c:v>
                </c:pt>
                <c:pt idx="30">
                  <c:v>51408.356240857087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1B-4E48-96FB-564B061D2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32808400"/>
        <c:axId val="2132804240"/>
      </c:barChart>
      <c:catAx>
        <c:axId val="21328084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32804240"/>
        <c:crosses val="autoZero"/>
        <c:auto val="1"/>
        <c:lblAlgn val="ctr"/>
        <c:lblOffset val="100"/>
        <c:noMultiLvlLbl val="0"/>
      </c:catAx>
      <c:valAx>
        <c:axId val="2132804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3280840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Kapitalwert</a:t>
            </a:r>
          </a:p>
        </c:rich>
      </c:tx>
      <c:layout>
        <c:manualLayout>
          <c:xMode val="edge"/>
          <c:yMode val="edge"/>
          <c:x val="0.45947222222222223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Neutral</c:v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'Wirtschaftlichkeit (Neutral)'!$C$44</c:f>
              <c:numCache>
                <c:formatCode>"€"#,##0_);[Red]\("€"#,##0\)</c:formatCode>
                <c:ptCount val="1"/>
                <c:pt idx="0">
                  <c:v>506542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D4-4EDF-9AC4-85A536FA0935}"/>
            </c:ext>
          </c:extLst>
        </c:ser>
        <c:ser>
          <c:idx val="1"/>
          <c:order val="1"/>
          <c:tx>
            <c:v>Best Case</c:v>
          </c:tx>
          <c:spPr>
            <a:solidFill>
              <a:schemeClr val="accent6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'Wirtschaftlichkeit (Positiv)'!$C$43</c:f>
              <c:numCache>
                <c:formatCode>"€"#,##0_);[Red]\("€"#,##0\)</c:formatCode>
                <c:ptCount val="1"/>
                <c:pt idx="0">
                  <c:v>744427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D4-4EDF-9AC4-85A536FA0935}"/>
            </c:ext>
          </c:extLst>
        </c:ser>
        <c:ser>
          <c:idx val="2"/>
          <c:order val="2"/>
          <c:tx>
            <c:v>Worst Case</c:v>
          </c:tx>
          <c:spPr>
            <a:solidFill>
              <a:srgbClr val="FF0000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val>
            <c:numRef>
              <c:f>'Wirtschaftlichkeit (Negativ)'!$C$44</c:f>
              <c:numCache>
                <c:formatCode>"€"#,##0_);[Red]\("€"#,##0\)</c:formatCode>
                <c:ptCount val="1"/>
                <c:pt idx="0">
                  <c:v>268658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D4-4EDF-9AC4-85A536FA0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259823551"/>
        <c:axId val="259814399"/>
        <c:axId val="0"/>
      </c:bar3DChart>
      <c:catAx>
        <c:axId val="259823551"/>
        <c:scaling>
          <c:orientation val="minMax"/>
        </c:scaling>
        <c:delete val="1"/>
        <c:axPos val="b"/>
        <c:majorTickMark val="none"/>
        <c:minorTickMark val="none"/>
        <c:tickLblPos val="nextTo"/>
        <c:crossAx val="259814399"/>
        <c:crosses val="autoZero"/>
        <c:auto val="1"/>
        <c:lblAlgn val="ctr"/>
        <c:lblOffset val="100"/>
        <c:noMultiLvlLbl val="0"/>
      </c:catAx>
      <c:valAx>
        <c:axId val="259814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982355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Amortisation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'Wirtschaftlichkeit (Positiv)'!$D$40:$AH$40</c:f>
              <c:numCache>
                <c:formatCode>"€"#,##0_);[Red]\("€"#,##0\)</c:formatCode>
                <c:ptCount val="31"/>
                <c:pt idx="0">
                  <c:v>-214500</c:v>
                </c:pt>
                <c:pt idx="1">
                  <c:v>-192081.08826441912</c:v>
                </c:pt>
                <c:pt idx="2">
                  <c:v>-168049.44471379207</c:v>
                </c:pt>
                <c:pt idx="3">
                  <c:v>-142459.7999736717</c:v>
                </c:pt>
                <c:pt idx="4">
                  <c:v>-115365.4705539741</c:v>
                </c:pt>
                <c:pt idx="5">
                  <c:v>-121430.9545276018</c:v>
                </c:pt>
                <c:pt idx="6">
                  <c:v>-91481.719664751552</c:v>
                </c:pt>
                <c:pt idx="7">
                  <c:v>-60179.604202702831</c:v>
                </c:pt>
                <c:pt idx="8">
                  <c:v>-27572.603390590262</c:v>
                </c:pt>
                <c:pt idx="9">
                  <c:v>6292.5380119991132</c:v>
                </c:pt>
                <c:pt idx="10">
                  <c:v>7858.9833619048695</c:v>
                </c:pt>
                <c:pt idx="11">
                  <c:v>44105.022319963595</c:v>
                </c:pt>
                <c:pt idx="12">
                  <c:v>81476.170088637387</c:v>
                </c:pt>
                <c:pt idx="13">
                  <c:v>119930.38700662879</c:v>
                </c:pt>
                <c:pt idx="14">
                  <c:v>159426.73899069277</c:v>
                </c:pt>
                <c:pt idx="15">
                  <c:v>102590.06925046846</c:v>
                </c:pt>
                <c:pt idx="16">
                  <c:v>144052.17742464453</c:v>
                </c:pt>
                <c:pt idx="17">
                  <c:v>186439.98579680003</c:v>
                </c:pt>
                <c:pt idx="18">
                  <c:v>229716.71967724263</c:v>
                </c:pt>
                <c:pt idx="19">
                  <c:v>273846.58160993212</c:v>
                </c:pt>
                <c:pt idx="20">
                  <c:v>287381.91550102131</c:v>
                </c:pt>
                <c:pt idx="21">
                  <c:v>333114.43141670339</c:v>
                </c:pt>
                <c:pt idx="22">
                  <c:v>379598.31074449158</c:v>
                </c:pt>
                <c:pt idx="23">
                  <c:v>426801.43209402071</c:v>
                </c:pt>
                <c:pt idx="24">
                  <c:v>474692.53763215587</c:v>
                </c:pt>
                <c:pt idx="25">
                  <c:v>492827.844599523</c:v>
                </c:pt>
                <c:pt idx="26">
                  <c:v>542004.49411830795</c:v>
                </c:pt>
                <c:pt idx="27">
                  <c:v>591780.32692470774</c:v>
                </c:pt>
                <c:pt idx="28">
                  <c:v>642127.33315344201</c:v>
                </c:pt>
                <c:pt idx="29">
                  <c:v>693018.26580829197</c:v>
                </c:pt>
                <c:pt idx="30">
                  <c:v>744426.62204914901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8F-4B19-AD92-E8ADAD472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8865984"/>
        <c:axId val="1448866816"/>
      </c:barChart>
      <c:catAx>
        <c:axId val="14488659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48866816"/>
        <c:crosses val="autoZero"/>
        <c:auto val="1"/>
        <c:lblAlgn val="ctr"/>
        <c:lblOffset val="100"/>
        <c:noMultiLvlLbl val="0"/>
      </c:catAx>
      <c:valAx>
        <c:axId val="144886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4886598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7</xdr:col>
      <xdr:colOff>73479</xdr:colOff>
      <xdr:row>3</xdr:row>
      <xdr:rowOff>108966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807F6D3-738C-4371-B2B0-63C2E2BAD3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0" y="408214"/>
          <a:ext cx="2590800" cy="1728216"/>
        </a:xfrm>
        <a:prstGeom prst="rect">
          <a:avLst/>
        </a:prstGeom>
      </xdr:spPr>
    </xdr:pic>
    <xdr:clientData/>
  </xdr:twoCellAnchor>
  <xdr:twoCellAnchor editAs="oneCell">
    <xdr:from>
      <xdr:col>11</xdr:col>
      <xdr:colOff>340178</xdr:colOff>
      <xdr:row>2</xdr:row>
      <xdr:rowOff>605169</xdr:rowOff>
    </xdr:from>
    <xdr:to>
      <xdr:col>14</xdr:col>
      <xdr:colOff>272143</xdr:colOff>
      <xdr:row>2</xdr:row>
      <xdr:rowOff>1143000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C4624F2B-1E43-4059-811C-C64164726E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499" y="1013383"/>
          <a:ext cx="2217965" cy="537831"/>
        </a:xfrm>
        <a:prstGeom prst="rect">
          <a:avLst/>
        </a:prstGeom>
      </xdr:spPr>
    </xdr:pic>
    <xdr:clientData/>
  </xdr:twoCellAnchor>
  <xdr:twoCellAnchor editAs="oneCell">
    <xdr:from>
      <xdr:col>19</xdr:col>
      <xdr:colOff>81643</xdr:colOff>
      <xdr:row>2</xdr:row>
      <xdr:rowOff>406572</xdr:rowOff>
    </xdr:from>
    <xdr:to>
      <xdr:col>21</xdr:col>
      <xdr:colOff>639536</xdr:colOff>
      <xdr:row>2</xdr:row>
      <xdr:rowOff>1073552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A8F54102-E0E0-4DDC-B95A-864C0A5FE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66964" y="814786"/>
          <a:ext cx="2081893" cy="6669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74750</xdr:colOff>
      <xdr:row>32</xdr:row>
      <xdr:rowOff>111401</xdr:rowOff>
    </xdr:from>
    <xdr:to>
      <xdr:col>5</xdr:col>
      <xdr:colOff>322400</xdr:colOff>
      <xdr:row>46</xdr:row>
      <xdr:rowOff>187601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78DB12A5-9B9F-4F4A-9F36-10CB9DF151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485775</xdr:colOff>
      <xdr:row>47</xdr:row>
      <xdr:rowOff>85725</xdr:rowOff>
    </xdr:from>
    <xdr:to>
      <xdr:col>13</xdr:col>
      <xdr:colOff>395475</xdr:colOff>
      <xdr:row>63</xdr:row>
      <xdr:rowOff>116775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F84B8BAF-0D12-46CA-ADD6-0ABDA1FD8E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723900</xdr:colOff>
      <xdr:row>48</xdr:row>
      <xdr:rowOff>95249</xdr:rowOff>
    </xdr:from>
    <xdr:to>
      <xdr:col>20</xdr:col>
      <xdr:colOff>614550</xdr:colOff>
      <xdr:row>64</xdr:row>
      <xdr:rowOff>126299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909B0CCA-5240-457B-995E-21FDFD009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285750</xdr:colOff>
      <xdr:row>66</xdr:row>
      <xdr:rowOff>9525</xdr:rowOff>
    </xdr:from>
    <xdr:to>
      <xdr:col>12</xdr:col>
      <xdr:colOff>419100</xdr:colOff>
      <xdr:row>81</xdr:row>
      <xdr:rowOff>32025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5DC9DBCA-5B3B-4F27-866C-5428486B52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265872</xdr:colOff>
      <xdr:row>48</xdr:row>
      <xdr:rowOff>162753</xdr:rowOff>
    </xdr:from>
    <xdr:to>
      <xdr:col>6</xdr:col>
      <xdr:colOff>259641</xdr:colOff>
      <xdr:row>64</xdr:row>
      <xdr:rowOff>174753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2811B5F8-46AF-4F68-9A35-88304A04BD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428623</xdr:colOff>
      <xdr:row>82</xdr:row>
      <xdr:rowOff>0</xdr:rowOff>
    </xdr:from>
    <xdr:to>
      <xdr:col>6</xdr:col>
      <xdr:colOff>276823</xdr:colOff>
      <xdr:row>97</xdr:row>
      <xdr:rowOff>22500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E1DC4751-64A1-4C08-9BB9-50BF03C6B0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457200</xdr:colOff>
      <xdr:row>97</xdr:row>
      <xdr:rowOff>190499</xdr:rowOff>
    </xdr:from>
    <xdr:to>
      <xdr:col>6</xdr:col>
      <xdr:colOff>305400</xdr:colOff>
      <xdr:row>113</xdr:row>
      <xdr:rowOff>22499</xdr:rowOff>
    </xdr:to>
    <xdr:graphicFrame macro="">
      <xdr:nvGraphicFramePr>
        <xdr:cNvPr id="16" name="Diagramm 15">
          <a:extLst>
            <a:ext uri="{FF2B5EF4-FFF2-40B4-BE49-F238E27FC236}">
              <a16:creationId xmlns:a16="http://schemas.microsoft.com/office/drawing/2014/main" id="{3600D6B6-C00D-4893-AB57-BF101C4F54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200025</xdr:colOff>
      <xdr:row>31</xdr:row>
      <xdr:rowOff>142875</xdr:rowOff>
    </xdr:from>
    <xdr:to>
      <xdr:col>12</xdr:col>
      <xdr:colOff>609600</xdr:colOff>
      <xdr:row>46</xdr:row>
      <xdr:rowOff>28575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A850651F-ACE1-4BFA-946A-0EC504D90F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447675</xdr:colOff>
      <xdr:row>82</xdr:row>
      <xdr:rowOff>9525</xdr:rowOff>
    </xdr:from>
    <xdr:to>
      <xdr:col>13</xdr:col>
      <xdr:colOff>238725</xdr:colOff>
      <xdr:row>97</xdr:row>
      <xdr:rowOff>32025</xdr:rowOff>
    </xdr:to>
    <xdr:graphicFrame macro="">
      <xdr:nvGraphicFramePr>
        <xdr:cNvPr id="18" name="Diagramm 17">
          <a:extLst>
            <a:ext uri="{FF2B5EF4-FFF2-40B4-BE49-F238E27FC236}">
              <a16:creationId xmlns:a16="http://schemas.microsoft.com/office/drawing/2014/main" id="{2B7916B1-68BD-455E-98E4-B6DEF23088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438150</xdr:colOff>
      <xdr:row>98</xdr:row>
      <xdr:rowOff>9525</xdr:rowOff>
    </xdr:from>
    <xdr:to>
      <xdr:col>13</xdr:col>
      <xdr:colOff>229200</xdr:colOff>
      <xdr:row>113</xdr:row>
      <xdr:rowOff>32025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729A2161-9EF5-4963-AA04-6DF91BA92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15</xdr:col>
      <xdr:colOff>295275</xdr:colOff>
      <xdr:row>31</xdr:row>
      <xdr:rowOff>104775</xdr:rowOff>
    </xdr:from>
    <xdr:to>
      <xdr:col>19</xdr:col>
      <xdr:colOff>809625</xdr:colOff>
      <xdr:row>45</xdr:row>
      <xdr:rowOff>180975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E8773CCA-CD62-4849-B71D-C186D213C9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495300</xdr:colOff>
      <xdr:row>82</xdr:row>
      <xdr:rowOff>9525</xdr:rowOff>
    </xdr:from>
    <xdr:to>
      <xdr:col>20</xdr:col>
      <xdr:colOff>391125</xdr:colOff>
      <xdr:row>97</xdr:row>
      <xdr:rowOff>32025</xdr:rowOff>
    </xdr:to>
    <xdr:graphicFrame macro="">
      <xdr:nvGraphicFramePr>
        <xdr:cNvPr id="22" name="Diagramm 21">
          <a:extLst>
            <a:ext uri="{FF2B5EF4-FFF2-40B4-BE49-F238E27FC236}">
              <a16:creationId xmlns:a16="http://schemas.microsoft.com/office/drawing/2014/main" id="{EBA1FED3-C843-468E-B13F-FD44DFDDAB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14</xdr:col>
      <xdr:colOff>514350</xdr:colOff>
      <xdr:row>98</xdr:row>
      <xdr:rowOff>0</xdr:rowOff>
    </xdr:from>
    <xdr:to>
      <xdr:col>20</xdr:col>
      <xdr:colOff>410175</xdr:colOff>
      <xdr:row>113</xdr:row>
      <xdr:rowOff>22500</xdr:rowOff>
    </xdr:to>
    <xdr:graphicFrame macro="">
      <xdr:nvGraphicFramePr>
        <xdr:cNvPr id="23" name="Diagramm 22">
          <a:extLst>
            <a:ext uri="{FF2B5EF4-FFF2-40B4-BE49-F238E27FC236}">
              <a16:creationId xmlns:a16="http://schemas.microsoft.com/office/drawing/2014/main" id="{B2326CBC-21F3-49CD-97E0-8E9091356B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</xdr:col>
      <xdr:colOff>200025</xdr:colOff>
      <xdr:row>16</xdr:row>
      <xdr:rowOff>23812</xdr:rowOff>
    </xdr:from>
    <xdr:to>
      <xdr:col>6</xdr:col>
      <xdr:colOff>666750</xdr:colOff>
      <xdr:row>30</xdr:row>
      <xdr:rowOff>188962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567D59E-838B-4EC1-9A1F-861BC39BC9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</xdr:col>
      <xdr:colOff>352425</xdr:colOff>
      <xdr:row>16</xdr:row>
      <xdr:rowOff>33337</xdr:rowOff>
    </xdr:from>
    <xdr:to>
      <xdr:col>13</xdr:col>
      <xdr:colOff>809625</xdr:colOff>
      <xdr:row>30</xdr:row>
      <xdr:rowOff>90487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B148F0EF-C597-4096-A7DC-63D12E9D55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16</xdr:col>
      <xdr:colOff>476250</xdr:colOff>
      <xdr:row>16</xdr:row>
      <xdr:rowOff>61912</xdr:rowOff>
    </xdr:from>
    <xdr:to>
      <xdr:col>20</xdr:col>
      <xdr:colOff>714375</xdr:colOff>
      <xdr:row>30</xdr:row>
      <xdr:rowOff>119062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DE445230-16F0-4597-8D7F-489A654B72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38100</xdr:colOff>
      <xdr:row>65</xdr:row>
      <xdr:rowOff>76200</xdr:rowOff>
    </xdr:from>
    <xdr:to>
      <xdr:col>5</xdr:col>
      <xdr:colOff>363225</xdr:colOff>
      <xdr:row>81</xdr:row>
      <xdr:rowOff>16200</xdr:rowOff>
    </xdr:to>
    <xdr:graphicFrame macro="">
      <xdr:nvGraphicFramePr>
        <xdr:cNvPr id="25" name="Diagramm 24">
          <a:extLst>
            <a:ext uri="{FF2B5EF4-FFF2-40B4-BE49-F238E27FC236}">
              <a16:creationId xmlns:a16="http://schemas.microsoft.com/office/drawing/2014/main" id="{1C6C456D-0C69-4DE7-8C52-26676A3A10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14</xdr:col>
      <xdr:colOff>971550</xdr:colOff>
      <xdr:row>65</xdr:row>
      <xdr:rowOff>104775</xdr:rowOff>
    </xdr:from>
    <xdr:to>
      <xdr:col>19</xdr:col>
      <xdr:colOff>161925</xdr:colOff>
      <xdr:row>80</xdr:row>
      <xdr:rowOff>127275</xdr:rowOff>
    </xdr:to>
    <xdr:graphicFrame macro="">
      <xdr:nvGraphicFramePr>
        <xdr:cNvPr id="26" name="Diagramm 25">
          <a:extLst>
            <a:ext uri="{FF2B5EF4-FFF2-40B4-BE49-F238E27FC236}">
              <a16:creationId xmlns:a16="http://schemas.microsoft.com/office/drawing/2014/main" id="{9DF0A260-A7D0-4BA3-82A7-DDF159255F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610718</xdr:colOff>
      <xdr:row>31</xdr:row>
      <xdr:rowOff>57149</xdr:rowOff>
    </xdr:from>
    <xdr:to>
      <xdr:col>6</xdr:col>
      <xdr:colOff>102042</xdr:colOff>
      <xdr:row>51</xdr:row>
      <xdr:rowOff>59090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AAD5E58F-8F5A-4717-9190-F6632FF1F7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605115</xdr:colOff>
      <xdr:row>51</xdr:row>
      <xdr:rowOff>124384</xdr:rowOff>
    </xdr:from>
    <xdr:to>
      <xdr:col>6</xdr:col>
      <xdr:colOff>96439</xdr:colOff>
      <xdr:row>72</xdr:row>
      <xdr:rowOff>3060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278EEA9D-10A8-468C-B667-B2BAC658C2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588309</xdr:colOff>
      <xdr:row>72</xdr:row>
      <xdr:rowOff>85163</xdr:rowOff>
    </xdr:from>
    <xdr:to>
      <xdr:col>6</xdr:col>
      <xdr:colOff>79633</xdr:colOff>
      <xdr:row>93</xdr:row>
      <xdr:rowOff>8663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5F2EDB3-81D8-4CC1-9611-73735BCC00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371475</xdr:colOff>
      <xdr:row>20</xdr:row>
      <xdr:rowOff>42862</xdr:rowOff>
    </xdr:from>
    <xdr:to>
      <xdr:col>41</xdr:col>
      <xdr:colOff>371475</xdr:colOff>
      <xdr:row>28</xdr:row>
      <xdr:rowOff>66675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98743AF-32C1-4D27-AE0E-C88FD5988B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390525</xdr:colOff>
      <xdr:row>29</xdr:row>
      <xdr:rowOff>90487</xdr:rowOff>
    </xdr:from>
    <xdr:to>
      <xdr:col>41</xdr:col>
      <xdr:colOff>390525</xdr:colOff>
      <xdr:row>35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3EFE6C84-DFDB-4B9E-8BFD-D85E9B94CB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371475</xdr:colOff>
      <xdr:row>14</xdr:row>
      <xdr:rowOff>42862</xdr:rowOff>
    </xdr:from>
    <xdr:to>
      <xdr:col>41</xdr:col>
      <xdr:colOff>371475</xdr:colOff>
      <xdr:row>29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294AF1A6-1886-497C-914E-5B815BBD07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390525</xdr:colOff>
      <xdr:row>29</xdr:row>
      <xdr:rowOff>90487</xdr:rowOff>
    </xdr:from>
    <xdr:to>
      <xdr:col>41</xdr:col>
      <xdr:colOff>390525</xdr:colOff>
      <xdr:row>35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DD623FB3-2935-45C0-9D95-7E65AC1F75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371475</xdr:colOff>
      <xdr:row>11</xdr:row>
      <xdr:rowOff>0</xdr:rowOff>
    </xdr:from>
    <xdr:to>
      <xdr:col>41</xdr:col>
      <xdr:colOff>371475</xdr:colOff>
      <xdr:row>11</xdr:row>
      <xdr:rowOff>66675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60B5FAF-3271-4A5F-812A-E0C1CB2DAC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22653D-0A70-4FDD-8279-5E83ECBB49E4}" name="Tabelle1" displayName="Tabelle1" ref="B104:G117" totalsRowShown="0" headerRowDxfId="44" headerRowBorderDxfId="43" tableBorderDxfId="42">
  <autoFilter ref="B104:G117" xr:uid="{6422653D-0A70-4FDD-8279-5E83ECBB49E4}"/>
  <tableColumns count="6">
    <tableColumn id="9" xr3:uid="{2F85C441-426F-4BD3-A27A-7F92DEBDBCE1}" name="Abk." dataDxfId="41"/>
    <tableColumn id="1" xr3:uid="{E364DCDA-27F2-46C4-9EAE-02B1F79283CE}" name="Position"/>
    <tableColumn id="3" xr3:uid="{D85DD93E-EF81-46F2-AA89-D9C4C0228BA6}" name="Einheit" dataDxfId="40"/>
    <tableColumn id="4" xr3:uid="{D56FCB98-8652-4755-AD5C-F7623A2457FD}" name="Menge" dataDxfId="39"/>
    <tableColumn id="5" xr3:uid="{1F2DC9FE-F34A-4081-9878-082C1742EE84}" name="EP [€]" dataDxfId="38"/>
    <tableColumn id="6" xr3:uid="{576C9814-F495-4A6A-B017-58E8DAC16BCB}" name="GP [€]" dataDxfId="37">
      <calculatedColumnFormula>E105*F105</calculatedColumnFormula>
    </tableColumn>
  </tableColumns>
  <tableStyleInfo name="TableStyleMedium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36DFFC-55BE-4A5A-AA9F-2AB042FAC5CD}" name="Tabelle2" displayName="Tabelle2" ref="B126:G131" totalsRowShown="0" headerRowDxfId="36" headerRowBorderDxfId="35" tableBorderDxfId="34">
  <autoFilter ref="B126:G131" xr:uid="{5736DFFC-55BE-4A5A-AA9F-2AB042FAC5CD}"/>
  <tableColumns count="6">
    <tableColumn id="1" xr3:uid="{0A2C02CC-686E-42DB-873D-7826B46CDFE7}" name="Position" dataDxfId="33"/>
    <tableColumn id="2" xr3:uid="{E6304A42-C7DE-4BF3-90EC-B70F1133240E}" name="Spalte1" dataDxfId="32"/>
    <tableColumn id="3" xr3:uid="{7939FD48-66D0-4D99-B773-61DCCAB55853}" name="Einheit" dataDxfId="31"/>
    <tableColumn id="4" xr3:uid="{9747D17F-A0C5-4ABD-8FF0-FFF2FEB56F94}" name="Menge" dataDxfId="30"/>
    <tableColumn id="5" xr3:uid="{A329F8E3-5F27-468F-A4D3-B31371198F1B}" name="EP [€]" dataDxfId="29"/>
    <tableColumn id="6" xr3:uid="{4EB6F6C7-2DC6-4B94-AD55-A98CD1A41331}" name="GP [€]" dataDxfId="28">
      <calculatedColumnFormula>E127*F127</calculatedColumnFormula>
    </tableColumn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A8D52FA-F7C1-44AE-A35D-9F4C85852C23}" name="Tabelle5" displayName="Tabelle5" ref="B45:G55" totalsRowShown="0" headerRowDxfId="27" dataDxfId="26" tableBorderDxfId="25">
  <autoFilter ref="B45:G55" xr:uid="{3A8D52FA-F7C1-44AE-A35D-9F4C85852C23}"/>
  <tableColumns count="6">
    <tableColumn id="1" xr3:uid="{8BA317C6-0E0D-4A75-AACF-AD33B41D735B}" name="KG" dataDxfId="24"/>
    <tableColumn id="2" xr3:uid="{D0BF4AFE-D232-43BF-9515-D661E5355AD1}" name="Gliederung" dataDxfId="23"/>
    <tableColumn id="3" xr3:uid="{6F474378-3987-465E-A7DA-70BDC2055AC4}" name=" " dataDxfId="22"/>
    <tableColumn id="4" xr3:uid="{29CDB078-465A-4302-9262-249D6C8A1727}" name="  " dataDxfId="21"/>
    <tableColumn id="5" xr3:uid="{CFB9DD3E-3F61-4B07-92A0-C7DB01D05DE4}" name="   " dataDxfId="20"/>
    <tableColumn id="6" xr3:uid="{2C97082C-1869-4B90-8765-A9B98FD05B20}" name="    " dataDxfId="19" dataCellStyle="Währung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AA4CE-D20F-470F-9DEF-9B205C1DEFED}">
  <dimension ref="B1:W71"/>
  <sheetViews>
    <sheetView showGridLines="0" tabSelected="1" showOutlineSymbols="0" showWhiteSpace="0" zoomScale="70" zoomScaleNormal="70" workbookViewId="0">
      <selection activeCell="I80" sqref="I80"/>
    </sheetView>
  </sheetViews>
  <sheetFormatPr baseColWidth="10" defaultRowHeight="15"/>
  <cols>
    <col min="3" max="3" width="4.42578125" customWidth="1"/>
    <col min="4" max="4" width="11.42578125" customWidth="1"/>
    <col min="5" max="5" width="7.5703125" customWidth="1"/>
    <col min="6" max="6" width="2.85546875" customWidth="1"/>
  </cols>
  <sheetData>
    <row r="1" spans="2:23" ht="15.75" thickBot="1"/>
    <row r="2" spans="2:23" ht="15.75" thickTop="1">
      <c r="B2" s="297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9"/>
    </row>
    <row r="3" spans="2:23" ht="127.5" customHeight="1">
      <c r="B3" s="300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301"/>
    </row>
    <row r="4" spans="2:23">
      <c r="B4" s="300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301"/>
    </row>
    <row r="5" spans="2:23">
      <c r="B5" s="300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301"/>
    </row>
    <row r="6" spans="2:23">
      <c r="B6" s="300"/>
      <c r="C6" s="142" t="s">
        <v>234</v>
      </c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301"/>
    </row>
    <row r="7" spans="2:23">
      <c r="B7" s="300"/>
      <c r="C7" s="142" t="s">
        <v>296</v>
      </c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301"/>
    </row>
    <row r="8" spans="2:23">
      <c r="B8" s="300"/>
      <c r="C8" s="142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301"/>
    </row>
    <row r="9" spans="2:23">
      <c r="B9" s="300"/>
      <c r="C9" s="142" t="s">
        <v>242</v>
      </c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301"/>
    </row>
    <row r="10" spans="2:23">
      <c r="B10" s="300"/>
      <c r="C10" s="142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301"/>
    </row>
    <row r="11" spans="2:23">
      <c r="B11" s="300"/>
      <c r="C11" s="142" t="s">
        <v>236</v>
      </c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301"/>
    </row>
    <row r="12" spans="2:23">
      <c r="B12" s="300"/>
      <c r="C12" s="180" t="s">
        <v>235</v>
      </c>
      <c r="D12" s="280"/>
      <c r="E12" s="142" t="s">
        <v>278</v>
      </c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301"/>
    </row>
    <row r="13" spans="2:23">
      <c r="B13" s="300"/>
      <c r="C13" s="180" t="s">
        <v>235</v>
      </c>
      <c r="D13" s="254"/>
      <c r="E13" s="142" t="s">
        <v>279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301"/>
    </row>
    <row r="14" spans="2:23">
      <c r="B14" s="300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301"/>
    </row>
    <row r="15" spans="2:23">
      <c r="B15" s="300"/>
      <c r="C15" s="142" t="s">
        <v>237</v>
      </c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301"/>
    </row>
    <row r="16" spans="2:23">
      <c r="B16" s="300"/>
      <c r="C16" s="142" t="s">
        <v>235</v>
      </c>
      <c r="D16" s="292"/>
      <c r="E16" s="142" t="s">
        <v>240</v>
      </c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301"/>
    </row>
    <row r="17" spans="2:23">
      <c r="B17" s="300"/>
      <c r="C17" s="142" t="s">
        <v>235</v>
      </c>
      <c r="D17" s="293"/>
      <c r="E17" s="142" t="s">
        <v>280</v>
      </c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301"/>
    </row>
    <row r="18" spans="2:23">
      <c r="B18" s="300"/>
      <c r="C18" s="142" t="s">
        <v>235</v>
      </c>
      <c r="D18" s="294"/>
      <c r="E18" s="142" t="s">
        <v>238</v>
      </c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301"/>
    </row>
    <row r="19" spans="2:23">
      <c r="B19" s="300"/>
      <c r="C19" s="142" t="s">
        <v>235</v>
      </c>
      <c r="D19" s="295"/>
      <c r="E19" s="142" t="s">
        <v>239</v>
      </c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301"/>
    </row>
    <row r="20" spans="2:23">
      <c r="B20" s="300"/>
      <c r="C20" s="142" t="s">
        <v>235</v>
      </c>
      <c r="D20" s="296"/>
      <c r="E20" s="142" t="s">
        <v>241</v>
      </c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301"/>
    </row>
    <row r="21" spans="2:23">
      <c r="B21" s="300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301"/>
    </row>
    <row r="22" spans="2:23">
      <c r="B22" s="300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301"/>
    </row>
    <row r="23" spans="2:23">
      <c r="B23" s="300"/>
      <c r="C23" s="302" t="s">
        <v>243</v>
      </c>
      <c r="D23" s="30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301"/>
    </row>
    <row r="24" spans="2:23">
      <c r="B24" s="300"/>
      <c r="C24" s="142" t="s">
        <v>235</v>
      </c>
      <c r="D24" s="142" t="s">
        <v>281</v>
      </c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301"/>
    </row>
    <row r="25" spans="2:23">
      <c r="B25" s="300"/>
      <c r="C25" s="142"/>
      <c r="D25" s="142" t="s">
        <v>282</v>
      </c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301"/>
    </row>
    <row r="26" spans="2:23">
      <c r="B26" s="300"/>
      <c r="C26" s="142"/>
      <c r="D26" s="142" t="s">
        <v>283</v>
      </c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301"/>
    </row>
    <row r="27" spans="2:23">
      <c r="B27" s="300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301"/>
    </row>
    <row r="28" spans="2:23">
      <c r="B28" s="300"/>
      <c r="C28" s="142" t="s">
        <v>235</v>
      </c>
      <c r="D28" s="303" t="s">
        <v>155</v>
      </c>
      <c r="E28" s="303"/>
      <c r="F28" s="142" t="s">
        <v>284</v>
      </c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301"/>
    </row>
    <row r="29" spans="2:23">
      <c r="B29" s="300"/>
      <c r="C29" s="142"/>
      <c r="D29" s="142" t="s">
        <v>285</v>
      </c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301"/>
    </row>
    <row r="30" spans="2:23">
      <c r="B30" s="300"/>
      <c r="C30" s="142"/>
      <c r="D30" s="142" t="s">
        <v>286</v>
      </c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301"/>
    </row>
    <row r="31" spans="2:23">
      <c r="B31" s="300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301"/>
    </row>
    <row r="32" spans="2:23">
      <c r="B32" s="300"/>
      <c r="C32" s="142" t="s">
        <v>235</v>
      </c>
      <c r="D32" s="304" t="s">
        <v>244</v>
      </c>
      <c r="E32" s="304"/>
      <c r="F32" s="304"/>
      <c r="G32" s="142" t="s">
        <v>287</v>
      </c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301"/>
    </row>
    <row r="33" spans="2:23">
      <c r="B33" s="300"/>
      <c r="C33" s="142"/>
      <c r="D33" s="142" t="s">
        <v>288</v>
      </c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301"/>
    </row>
    <row r="34" spans="2:23">
      <c r="B34" s="300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301"/>
    </row>
    <row r="35" spans="2:23">
      <c r="B35" s="300"/>
      <c r="C35" s="142" t="s">
        <v>235</v>
      </c>
      <c r="D35" s="181" t="s">
        <v>69</v>
      </c>
      <c r="E35" s="181"/>
      <c r="F35" s="142" t="s">
        <v>245</v>
      </c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301"/>
    </row>
    <row r="36" spans="2:23">
      <c r="B36" s="300"/>
      <c r="C36" s="142"/>
      <c r="D36" s="142" t="s">
        <v>291</v>
      </c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301"/>
    </row>
    <row r="37" spans="2:23">
      <c r="B37" s="300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301"/>
    </row>
    <row r="38" spans="2:23">
      <c r="B38" s="300"/>
      <c r="C38" s="142" t="s">
        <v>235</v>
      </c>
      <c r="D38" s="305" t="s">
        <v>139</v>
      </c>
      <c r="E38" s="142" t="s">
        <v>290</v>
      </c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301"/>
    </row>
    <row r="39" spans="2:23">
      <c r="B39" s="300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301"/>
    </row>
    <row r="40" spans="2:23">
      <c r="B40" s="300"/>
      <c r="C40" s="142" t="s">
        <v>235</v>
      </c>
      <c r="D40" s="306" t="s">
        <v>247</v>
      </c>
      <c r="E40" s="306"/>
      <c r="F40" s="142" t="s">
        <v>289</v>
      </c>
      <c r="G40" s="142"/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301"/>
    </row>
    <row r="41" spans="2:23">
      <c r="B41" s="300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301"/>
    </row>
    <row r="42" spans="2:23">
      <c r="B42" s="300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301"/>
    </row>
    <row r="43" spans="2:23">
      <c r="B43" s="300"/>
      <c r="C43" s="302" t="s">
        <v>246</v>
      </c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301"/>
    </row>
    <row r="44" spans="2:23">
      <c r="B44" s="300"/>
      <c r="C44" s="142" t="s">
        <v>235</v>
      </c>
      <c r="D44" s="142" t="s">
        <v>297</v>
      </c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301"/>
    </row>
    <row r="45" spans="2:23">
      <c r="B45" s="300"/>
      <c r="C45" s="142"/>
      <c r="D45" s="307" t="s">
        <v>248</v>
      </c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301"/>
    </row>
    <row r="46" spans="2:23">
      <c r="B46" s="300"/>
      <c r="C46" s="142"/>
      <c r="D46" s="307" t="s">
        <v>292</v>
      </c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301"/>
    </row>
    <row r="47" spans="2:23">
      <c r="B47" s="300"/>
      <c r="C47" s="142"/>
      <c r="D47" s="307" t="s">
        <v>298</v>
      </c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301"/>
    </row>
    <row r="48" spans="2:23">
      <c r="B48" s="300"/>
      <c r="C48" s="142"/>
      <c r="D48" s="307" t="s">
        <v>249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301"/>
    </row>
    <row r="49" spans="2:23">
      <c r="B49" s="300"/>
      <c r="C49" s="142"/>
      <c r="D49" s="307" t="s">
        <v>293</v>
      </c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301"/>
    </row>
    <row r="50" spans="2:23">
      <c r="B50" s="300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  <c r="Q50" s="142"/>
      <c r="R50" s="142"/>
      <c r="S50" s="142"/>
      <c r="T50" s="142"/>
      <c r="U50" s="142"/>
      <c r="V50" s="142"/>
      <c r="W50" s="301"/>
    </row>
    <row r="51" spans="2:23">
      <c r="B51" s="300"/>
      <c r="C51" s="302" t="s">
        <v>250</v>
      </c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301"/>
    </row>
    <row r="52" spans="2:23">
      <c r="B52" s="300"/>
      <c r="C52" s="142" t="s">
        <v>235</v>
      </c>
      <c r="D52" s="142" t="s">
        <v>294</v>
      </c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301"/>
    </row>
    <row r="53" spans="2:23">
      <c r="B53" s="300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301"/>
    </row>
    <row r="54" spans="2:23">
      <c r="B54" s="300"/>
      <c r="C54" s="302" t="s">
        <v>251</v>
      </c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301"/>
    </row>
    <row r="55" spans="2:23">
      <c r="B55" s="300"/>
      <c r="C55" s="142" t="s">
        <v>235</v>
      </c>
      <c r="D55" s="142" t="s">
        <v>252</v>
      </c>
      <c r="E55" s="142"/>
      <c r="F55" s="142"/>
      <c r="G55" s="142"/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301"/>
    </row>
    <row r="56" spans="2:23">
      <c r="B56" s="300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301"/>
    </row>
    <row r="57" spans="2:23">
      <c r="B57" s="300"/>
      <c r="C57" s="302" t="s">
        <v>253</v>
      </c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301"/>
    </row>
    <row r="58" spans="2:23">
      <c r="B58" s="300"/>
      <c r="C58" s="142" t="s">
        <v>235</v>
      </c>
      <c r="D58" s="142" t="s">
        <v>299</v>
      </c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301"/>
    </row>
    <row r="59" spans="2:23">
      <c r="B59" s="300"/>
      <c r="C59" s="142" t="s">
        <v>235</v>
      </c>
      <c r="D59" s="142" t="s">
        <v>300</v>
      </c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301"/>
    </row>
    <row r="60" spans="2:23">
      <c r="B60" s="300"/>
      <c r="C60" s="142" t="s">
        <v>235</v>
      </c>
      <c r="D60" s="142" t="s">
        <v>301</v>
      </c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301"/>
    </row>
    <row r="61" spans="2:23">
      <c r="B61" s="300"/>
      <c r="C61" s="142" t="s">
        <v>235</v>
      </c>
      <c r="D61" s="142" t="s">
        <v>295</v>
      </c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301"/>
    </row>
    <row r="62" spans="2:23">
      <c r="B62" s="300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301"/>
    </row>
    <row r="63" spans="2:23">
      <c r="B63" s="300"/>
      <c r="C63" s="302" t="s">
        <v>254</v>
      </c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301"/>
    </row>
    <row r="64" spans="2:23">
      <c r="B64" s="300"/>
      <c r="C64" s="142" t="s">
        <v>235</v>
      </c>
      <c r="D64" s="142" t="s">
        <v>258</v>
      </c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301"/>
    </row>
    <row r="65" spans="2:23">
      <c r="B65" s="300"/>
      <c r="C65" s="302" t="s">
        <v>255</v>
      </c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301"/>
    </row>
    <row r="66" spans="2:23">
      <c r="B66" s="300"/>
      <c r="C66" s="142" t="s">
        <v>235</v>
      </c>
      <c r="D66" s="142" t="s">
        <v>257</v>
      </c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301"/>
    </row>
    <row r="67" spans="2:23">
      <c r="B67" s="300"/>
      <c r="C67" s="302" t="s">
        <v>256</v>
      </c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301"/>
    </row>
    <row r="68" spans="2:23">
      <c r="B68" s="300"/>
      <c r="C68" s="142" t="s">
        <v>235</v>
      </c>
      <c r="D68" s="142" t="s">
        <v>259</v>
      </c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301"/>
    </row>
    <row r="69" spans="2:23">
      <c r="B69" s="300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301"/>
    </row>
    <row r="70" spans="2:23" ht="15.75" thickBot="1">
      <c r="B70" s="308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10"/>
    </row>
    <row r="71" spans="2:23" ht="15.75" thickTop="1"/>
  </sheetData>
  <sheetProtection algorithmName="SHA-512" hashValue="fIaBF+zVPolqX6ppxI7pF5QTz595cuzvdVeef1/rx7eELQbdpAUAiQYxP4sBKKWI7YJRrrLCzFaqU0QZTidNdA==" saltValue="4bRKZdWfGPrYO5QaW1HFfw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298EE-BBD8-4C51-A2BF-2D44BEBA5625}">
  <dimension ref="A1:J42"/>
  <sheetViews>
    <sheetView showOutlineSymbols="0" showWhiteSpace="0" topLeftCell="A25" workbookViewId="0">
      <selection activeCell="D53" sqref="D53"/>
    </sheetView>
  </sheetViews>
  <sheetFormatPr baseColWidth="10" defaultRowHeight="15"/>
  <cols>
    <col min="2" max="2" width="19" customWidth="1"/>
    <col min="9" max="9" width="15.140625" customWidth="1"/>
  </cols>
  <sheetData>
    <row r="1" spans="1:10">
      <c r="A1" s="212"/>
      <c r="B1" s="37"/>
      <c r="C1" s="37"/>
      <c r="D1" s="37"/>
      <c r="E1" s="37"/>
      <c r="F1" s="37"/>
      <c r="G1" s="38"/>
    </row>
    <row r="2" spans="1:10" ht="15.75" thickBot="1">
      <c r="A2" s="4"/>
      <c r="B2" s="213" t="s">
        <v>179</v>
      </c>
      <c r="C2" s="213"/>
      <c r="D2" s="213"/>
      <c r="E2" s="213"/>
      <c r="F2" s="213"/>
      <c r="G2" s="5"/>
    </row>
    <row r="3" spans="1:10" ht="15.75" thickBot="1">
      <c r="A3" s="4"/>
      <c r="B3" s="115" t="s">
        <v>151</v>
      </c>
      <c r="C3" s="116"/>
      <c r="D3" s="20" t="s">
        <v>152</v>
      </c>
      <c r="E3" s="142"/>
      <c r="F3" s="142"/>
      <c r="G3" s="5"/>
    </row>
    <row r="4" spans="1:10">
      <c r="A4" s="4"/>
      <c r="B4" s="117">
        <v>50000</v>
      </c>
      <c r="C4" s="118"/>
      <c r="D4" s="119">
        <v>300</v>
      </c>
      <c r="E4" s="142"/>
      <c r="F4" s="142"/>
      <c r="G4" s="5"/>
    </row>
    <row r="5" spans="1:10" ht="15.75" thickBot="1">
      <c r="A5" s="4"/>
      <c r="B5" s="114">
        <v>5000000</v>
      </c>
      <c r="C5" s="7"/>
      <c r="D5" s="113">
        <v>30000</v>
      </c>
      <c r="E5" s="142"/>
      <c r="F5" s="142"/>
      <c r="G5" s="5"/>
    </row>
    <row r="6" spans="1:10" ht="15.75" thickBot="1">
      <c r="A6" s="6"/>
      <c r="B6" s="7"/>
      <c r="C6" s="7"/>
      <c r="D6" s="7"/>
      <c r="E6" s="7"/>
      <c r="F6" s="7"/>
      <c r="G6" s="214"/>
    </row>
    <row r="7" spans="1:10" ht="15.75" thickBot="1"/>
    <row r="8" spans="1:10" ht="15.75" thickBot="1">
      <c r="A8" s="212"/>
      <c r="B8" s="37"/>
      <c r="C8" s="37"/>
      <c r="D8" s="37"/>
      <c r="E8" s="37"/>
      <c r="F8" s="37"/>
      <c r="G8" s="37"/>
      <c r="H8" s="37"/>
      <c r="I8" s="37"/>
      <c r="J8" s="38"/>
    </row>
    <row r="9" spans="1:10" ht="15.75" thickBot="1">
      <c r="A9" s="4"/>
      <c r="B9" s="163" t="s">
        <v>198</v>
      </c>
      <c r="C9" s="164"/>
      <c r="D9" s="165"/>
      <c r="E9" s="164"/>
      <c r="F9" s="164"/>
      <c r="G9" s="164"/>
      <c r="H9" s="164"/>
      <c r="I9" s="166"/>
      <c r="J9" s="215"/>
    </row>
    <row r="10" spans="1:10">
      <c r="A10" s="4"/>
      <c r="B10" s="146" t="s">
        <v>178</v>
      </c>
      <c r="C10" s="161">
        <v>50000</v>
      </c>
      <c r="D10" s="136">
        <v>100000</v>
      </c>
      <c r="E10" s="161">
        <v>200000</v>
      </c>
      <c r="F10" s="161">
        <v>500000</v>
      </c>
      <c r="G10" s="162">
        <v>1000000</v>
      </c>
      <c r="H10" s="162">
        <v>2500000</v>
      </c>
      <c r="I10" s="162">
        <v>5000000</v>
      </c>
      <c r="J10" s="216"/>
    </row>
    <row r="11" spans="1:10">
      <c r="A11" s="4"/>
      <c r="B11" s="146" t="s">
        <v>177</v>
      </c>
      <c r="C11" s="161">
        <v>5000</v>
      </c>
      <c r="D11" s="161">
        <v>10000</v>
      </c>
      <c r="E11" s="161">
        <v>15000</v>
      </c>
      <c r="F11" s="161">
        <v>20000</v>
      </c>
      <c r="G11" s="161">
        <v>30000</v>
      </c>
      <c r="H11" s="161">
        <v>50000</v>
      </c>
      <c r="I11" s="161">
        <v>100000</v>
      </c>
      <c r="J11" s="217"/>
    </row>
    <row r="12" spans="1:10">
      <c r="A12" s="4"/>
      <c r="B12" s="142"/>
      <c r="C12" s="142"/>
      <c r="D12" s="142"/>
      <c r="E12" s="142"/>
      <c r="F12" s="142"/>
      <c r="G12" s="142"/>
      <c r="H12" s="142"/>
      <c r="I12" s="142"/>
      <c r="J12" s="5"/>
    </row>
    <row r="13" spans="1:10">
      <c r="A13" s="4"/>
      <c r="B13" s="142"/>
      <c r="C13" s="142"/>
      <c r="D13" s="142"/>
      <c r="E13" s="142"/>
      <c r="F13" s="142"/>
      <c r="G13" s="142"/>
      <c r="H13" s="142"/>
      <c r="I13" s="142"/>
      <c r="J13" s="5"/>
    </row>
    <row r="14" spans="1:10" ht="15.75" thickBot="1">
      <c r="A14" s="6"/>
      <c r="B14" s="7"/>
      <c r="C14" s="7"/>
      <c r="D14" s="7"/>
      <c r="E14" s="7"/>
      <c r="F14" s="7"/>
      <c r="G14" s="7"/>
      <c r="H14" s="7"/>
      <c r="I14" s="7"/>
      <c r="J14" s="214"/>
    </row>
    <row r="17" spans="1:6">
      <c r="A17" s="207" t="s">
        <v>229</v>
      </c>
      <c r="B17" s="207"/>
    </row>
    <row r="18" spans="1:6">
      <c r="A18" s="207" t="s">
        <v>208</v>
      </c>
      <c r="B18" s="88">
        <f>SUM(Zusammenfassung!E28:E30)</f>
        <v>29333.333333333332</v>
      </c>
    </row>
    <row r="19" spans="1:6">
      <c r="A19" s="207" t="s">
        <v>209</v>
      </c>
      <c r="B19" s="88">
        <f>SUM(Zusammenfassung!F28:F30)</f>
        <v>19066.666666666664</v>
      </c>
    </row>
    <row r="20" spans="1:6">
      <c r="A20" s="207" t="s">
        <v>210</v>
      </c>
      <c r="B20" s="88">
        <f>SUM(Zusammenfassung!G28:G30)</f>
        <v>39600</v>
      </c>
    </row>
    <row r="21" spans="1:6">
      <c r="B21" s="209"/>
    </row>
    <row r="22" spans="1:6">
      <c r="B22" s="209"/>
    </row>
    <row r="23" spans="1:6" ht="15.75" thickBot="1">
      <c r="B23" s="209" t="s">
        <v>218</v>
      </c>
      <c r="C23" s="209"/>
      <c r="D23" t="s">
        <v>226</v>
      </c>
      <c r="F23" t="s">
        <v>227</v>
      </c>
    </row>
    <row r="24" spans="1:6">
      <c r="A24" s="218"/>
      <c r="B24" s="209"/>
      <c r="C24" s="218"/>
      <c r="E24" s="218"/>
    </row>
    <row r="25" spans="1:6">
      <c r="A25" s="220" t="s">
        <v>1</v>
      </c>
      <c r="B25" s="209">
        <f>Zusammenfassung!E13</f>
        <v>64150</v>
      </c>
      <c r="C25" s="220" t="s">
        <v>1</v>
      </c>
      <c r="D25" s="209">
        <f>Zusammenfassung!F13</f>
        <v>41697.5</v>
      </c>
      <c r="E25" s="220" t="s">
        <v>1</v>
      </c>
      <c r="F25" s="209">
        <f>Zusammenfassung!G13</f>
        <v>86602.5</v>
      </c>
    </row>
    <row r="26" spans="1:6">
      <c r="A26" s="220" t="s">
        <v>26</v>
      </c>
      <c r="B26" s="209">
        <f>Zusammenfassung!E16</f>
        <v>25200</v>
      </c>
      <c r="C26" s="220" t="s">
        <v>26</v>
      </c>
      <c r="D26" s="209">
        <f>Zusammenfassung!F16</f>
        <v>16380</v>
      </c>
      <c r="E26" s="220" t="s">
        <v>26</v>
      </c>
      <c r="F26" s="209">
        <f>Zusammenfassung!G16</f>
        <v>34020</v>
      </c>
    </row>
    <row r="27" spans="1:6">
      <c r="A27" s="220" t="s">
        <v>69</v>
      </c>
      <c r="B27" s="209">
        <f>Zusammenfassung!E21</f>
        <v>62250</v>
      </c>
      <c r="C27" s="220" t="s">
        <v>69</v>
      </c>
      <c r="D27" s="209">
        <f>Zusammenfassung!F21</f>
        <v>62250</v>
      </c>
      <c r="E27" s="220" t="s">
        <v>69</v>
      </c>
      <c r="F27" s="209">
        <f>Zusammenfassung!G21</f>
        <v>62250</v>
      </c>
    </row>
    <row r="28" spans="1:6" ht="15.75" thickBot="1">
      <c r="A28" s="222" t="s">
        <v>139</v>
      </c>
      <c r="B28" s="209">
        <f>Zusammenfassung!E25</f>
        <v>174000</v>
      </c>
      <c r="C28" s="222" t="s">
        <v>139</v>
      </c>
      <c r="D28" s="209">
        <f>Zusammenfassung!F25</f>
        <v>174000</v>
      </c>
      <c r="E28" s="222" t="s">
        <v>139</v>
      </c>
      <c r="F28" s="209">
        <f>Zusammenfassung!G25</f>
        <v>174000</v>
      </c>
    </row>
    <row r="29" spans="1:6">
      <c r="A29" s="279" t="s">
        <v>128</v>
      </c>
      <c r="B29" s="209">
        <f>SUM(Zusammenfassung!E28:E30)</f>
        <v>29333.333333333332</v>
      </c>
      <c r="C29" s="279" t="s">
        <v>128</v>
      </c>
      <c r="D29" s="209">
        <f>SUM(Zusammenfassung!F28:F30)</f>
        <v>19066.666666666664</v>
      </c>
      <c r="E29" s="279" t="s">
        <v>128</v>
      </c>
      <c r="F29" s="209">
        <f>SUM(Zusammenfassung!G28:G30)</f>
        <v>39600</v>
      </c>
    </row>
    <row r="32" spans="1:6">
      <c r="A32" t="s">
        <v>269</v>
      </c>
    </row>
    <row r="33" spans="1:4" ht="15.75" thickBot="1"/>
    <row r="34" spans="1:4">
      <c r="A34" s="37" t="s">
        <v>11</v>
      </c>
      <c r="B34" s="209">
        <f>Zusammenfassung!E9</f>
        <v>4800</v>
      </c>
      <c r="C34" s="209">
        <f>Zusammenfassung!F9</f>
        <v>3120</v>
      </c>
      <c r="D34" s="209">
        <f>Zusammenfassung!G9</f>
        <v>6480</v>
      </c>
    </row>
    <row r="35" spans="1:4">
      <c r="A35" t="s">
        <v>15</v>
      </c>
      <c r="B35" s="209">
        <f>Zusammenfassung!E10</f>
        <v>1200</v>
      </c>
      <c r="C35" s="209">
        <f>Zusammenfassung!F10</f>
        <v>780</v>
      </c>
      <c r="D35" s="209">
        <f>Zusammenfassung!G10</f>
        <v>1620</v>
      </c>
    </row>
    <row r="36" spans="1:4">
      <c r="A36" t="s">
        <v>20</v>
      </c>
      <c r="B36" s="209">
        <f>Zusammenfassung!E11</f>
        <v>21349.999999999996</v>
      </c>
      <c r="C36" s="209">
        <f>Zusammenfassung!F11</f>
        <v>13877.499999999998</v>
      </c>
      <c r="D36" s="209">
        <f>Zusammenfassung!G11</f>
        <v>28822.499999999996</v>
      </c>
    </row>
    <row r="37" spans="1:4" ht="15.75" thickBot="1">
      <c r="A37" s="22" t="s">
        <v>23</v>
      </c>
      <c r="B37" s="209">
        <f>Zusammenfassung!E12</f>
        <v>36800</v>
      </c>
      <c r="C37" s="209">
        <f>Zusammenfassung!F12</f>
        <v>23920</v>
      </c>
      <c r="D37" s="209">
        <f>Zusammenfassung!G12</f>
        <v>49680</v>
      </c>
    </row>
    <row r="38" spans="1:4" ht="16.5" thickTop="1" thickBot="1">
      <c r="A38" s="146" t="s">
        <v>26</v>
      </c>
      <c r="B38" s="209">
        <f>Zusammenfassung!E15</f>
        <v>25200</v>
      </c>
      <c r="C38" s="209">
        <f>Zusammenfassung!F15</f>
        <v>16380</v>
      </c>
      <c r="D38" s="209">
        <f>Zusammenfassung!G15</f>
        <v>34020</v>
      </c>
    </row>
    <row r="39" spans="1:4">
      <c r="A39" s="37" t="s">
        <v>136</v>
      </c>
      <c r="B39" s="209">
        <f>Zusammenfassung!E18</f>
        <v>54000</v>
      </c>
      <c r="C39" s="209">
        <f>Zusammenfassung!F18</f>
        <v>54000</v>
      </c>
      <c r="D39" s="209">
        <f>Zusammenfassung!G18</f>
        <v>54000</v>
      </c>
    </row>
    <row r="40" spans="1:4">
      <c r="A40" t="s">
        <v>74</v>
      </c>
      <c r="B40" s="209">
        <f>Zusammenfassung!E19</f>
        <v>5500</v>
      </c>
      <c r="C40" s="209">
        <f>Zusammenfassung!F19</f>
        <v>5500</v>
      </c>
      <c r="D40" s="209">
        <f>Zusammenfassung!G19</f>
        <v>5500</v>
      </c>
    </row>
    <row r="41" spans="1:4" ht="15.75" thickBot="1">
      <c r="A41" s="22" t="s">
        <v>78</v>
      </c>
      <c r="B41" s="209">
        <f>Zusammenfassung!E20</f>
        <v>2750</v>
      </c>
      <c r="C41" s="209">
        <f>Zusammenfassung!F20</f>
        <v>2750</v>
      </c>
      <c r="D41" s="209">
        <f>Zusammenfassung!G20</f>
        <v>2750</v>
      </c>
    </row>
    <row r="42" spans="1:4" ht="15.75" thickTop="1">
      <c r="A42" s="146" t="s">
        <v>128</v>
      </c>
      <c r="B42" s="209">
        <f>SUM(Zusammenfassung!E28:E30)</f>
        <v>29333.333333333332</v>
      </c>
      <c r="C42" s="209">
        <f>SUM(Zusammenfassung!F28:F30)</f>
        <v>19066.666666666664</v>
      </c>
      <c r="D42" s="209">
        <f>SUM(Zusammenfassung!G28:G30)</f>
        <v>39600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4F07D-F093-42AE-A620-0F4FF238156A}">
  <dimension ref="A1:P132"/>
  <sheetViews>
    <sheetView showGridLines="0" showWhiteSpace="0" zoomScale="70" zoomScaleNormal="70" zoomScaleSheetLayoutView="70" workbookViewId="0">
      <selection activeCell="J18" sqref="J18"/>
    </sheetView>
  </sheetViews>
  <sheetFormatPr baseColWidth="10" defaultColWidth="11.42578125" defaultRowHeight="15" outlineLevelRow="1"/>
  <cols>
    <col min="1" max="1" width="3.85546875" customWidth="1"/>
    <col min="2" max="2" width="29.85546875" customWidth="1"/>
    <col min="3" max="3" width="14" customWidth="1"/>
    <col min="4" max="4" width="20.28515625" customWidth="1"/>
    <col min="5" max="5" width="15.28515625" customWidth="1"/>
    <col min="6" max="6" width="15.85546875" customWidth="1"/>
    <col min="7" max="7" width="16.7109375" customWidth="1"/>
    <col min="8" max="8" width="16.28515625" bestFit="1" customWidth="1"/>
    <col min="9" max="9" width="10.7109375" hidden="1" customWidth="1"/>
    <col min="10" max="10" width="16.7109375" customWidth="1"/>
    <col min="11" max="11" width="12.5703125" bestFit="1" customWidth="1"/>
    <col min="14" max="14" width="3.5703125" customWidth="1"/>
    <col min="17" max="17" width="14.140625" customWidth="1"/>
    <col min="18" max="18" width="17.140625" customWidth="1"/>
    <col min="20" max="20" width="12.5703125" bestFit="1" customWidth="1"/>
  </cols>
  <sheetData>
    <row r="1" spans="2:10" ht="15.75" thickBot="1"/>
    <row r="2" spans="2:10" ht="15.75" thickBot="1">
      <c r="B2" s="151" t="s">
        <v>176</v>
      </c>
      <c r="C2" s="152"/>
      <c r="D2" s="152"/>
      <c r="E2" s="152"/>
      <c r="F2" s="153"/>
    </row>
    <row r="3" spans="2:10">
      <c r="B3" s="1"/>
      <c r="C3" s="2" t="s">
        <v>3</v>
      </c>
      <c r="D3" s="3" t="s">
        <v>4</v>
      </c>
      <c r="E3" s="1" t="s">
        <v>175</v>
      </c>
      <c r="F3" s="3"/>
    </row>
    <row r="4" spans="2:10">
      <c r="B4" s="4" t="s">
        <v>13</v>
      </c>
      <c r="C4" s="154" t="s">
        <v>153</v>
      </c>
      <c r="D4" s="326">
        <v>250000</v>
      </c>
      <c r="E4" s="156" t="s">
        <v>150</v>
      </c>
      <c r="F4" s="159">
        <f>Hilfsblatt!D4+(Hilfsblatt!D5-Hilfsblatt!D4)/(Hilfsblatt!B5-Hilfsblatt!B4)*(Input!D4-Hilfsblatt!B4)</f>
        <v>1500</v>
      </c>
    </row>
    <row r="5" spans="2:10" ht="15.75" thickBot="1">
      <c r="B5" s="6" t="s">
        <v>17</v>
      </c>
      <c r="C5" s="155" t="s">
        <v>18</v>
      </c>
      <c r="D5" s="327">
        <v>0</v>
      </c>
      <c r="E5" s="157" t="s">
        <v>153</v>
      </c>
      <c r="F5" s="160">
        <f>Hilfsblatt!B4+(Hilfsblatt!B5-Hilfsblatt!B4)/(Hilfsblatt!D5-Hilfsblatt!D4)*(Input!D5-Hilfsblatt!D4)</f>
        <v>0</v>
      </c>
    </row>
    <row r="6" spans="2:10" ht="15.75" thickBot="1">
      <c r="B6" s="142"/>
      <c r="C6" s="158"/>
      <c r="D6" s="136"/>
      <c r="E6" s="158"/>
      <c r="F6" s="161"/>
    </row>
    <row r="7" spans="2:10" ht="15.75" thickBot="1">
      <c r="B7" s="233" t="s">
        <v>211</v>
      </c>
      <c r="C7" s="328" t="s">
        <v>13</v>
      </c>
      <c r="D7" s="136"/>
      <c r="E7" s="158"/>
      <c r="F7" s="158"/>
    </row>
    <row r="8" spans="2:10" ht="15.75" thickBot="1">
      <c r="B8" s="232"/>
      <c r="C8" s="136"/>
      <c r="D8" s="158"/>
      <c r="E8" s="158"/>
    </row>
    <row r="9" spans="2:10" s="366" customFormat="1" ht="15.75" thickBot="1">
      <c r="B9" s="404" t="s">
        <v>277</v>
      </c>
      <c r="C9" s="405"/>
      <c r="D9" s="406"/>
      <c r="E9" s="348"/>
      <c r="F9" s="348"/>
      <c r="G9" s="348"/>
      <c r="H9" s="348"/>
      <c r="I9" s="348"/>
    </row>
    <row r="10" spans="2:10" s="366" customFormat="1" outlineLevel="1">
      <c r="B10" s="407" t="s">
        <v>275</v>
      </c>
      <c r="C10" s="329" t="s">
        <v>196</v>
      </c>
      <c r="D10" s="408"/>
      <c r="E10" s="348"/>
      <c r="F10" s="348"/>
      <c r="G10" s="348"/>
      <c r="H10" s="348"/>
      <c r="I10" s="348"/>
    </row>
    <row r="11" spans="2:10" s="362" customFormat="1" outlineLevel="1">
      <c r="B11" s="379"/>
      <c r="C11" s="409"/>
      <c r="D11" s="374"/>
      <c r="E11" s="409"/>
      <c r="F11" s="409"/>
      <c r="G11" s="409"/>
      <c r="H11" s="409"/>
      <c r="I11" s="409"/>
      <c r="J11" s="410"/>
    </row>
    <row r="12" spans="2:10" s="366" customFormat="1" outlineLevel="1">
      <c r="B12" s="379"/>
      <c r="C12" s="411" t="s">
        <v>153</v>
      </c>
      <c r="D12" s="412" t="s">
        <v>18</v>
      </c>
      <c r="E12" s="348"/>
      <c r="F12" s="348"/>
      <c r="G12" s="348"/>
      <c r="H12" s="348"/>
      <c r="I12" s="348"/>
    </row>
    <row r="13" spans="2:10" s="366" customFormat="1" outlineLevel="1">
      <c r="B13" s="413" t="s">
        <v>276</v>
      </c>
      <c r="C13" s="330">
        <v>100000</v>
      </c>
      <c r="D13" s="331">
        <v>5000</v>
      </c>
      <c r="E13" s="414"/>
      <c r="F13" s="348"/>
      <c r="G13" s="348"/>
      <c r="H13" s="348"/>
      <c r="I13" s="348"/>
    </row>
    <row r="14" spans="2:10" s="366" customFormat="1" outlineLevel="1">
      <c r="B14" s="413" t="s">
        <v>194</v>
      </c>
      <c r="C14" s="415">
        <f>IFERROR((C13/D4)^0.67,"N.V.")</f>
        <v>0.54122792248918561</v>
      </c>
      <c r="D14" s="416" t="str">
        <f>IFERROR((D13/D5)^0.67,"N.V.")</f>
        <v>N.V.</v>
      </c>
      <c r="E14" s="348"/>
      <c r="F14" s="348"/>
      <c r="G14" s="348"/>
      <c r="H14" s="348"/>
      <c r="I14" s="348"/>
    </row>
    <row r="15" spans="2:10" s="366" customFormat="1" ht="15.75" outlineLevel="1" thickBot="1">
      <c r="B15" s="417" t="s">
        <v>195</v>
      </c>
      <c r="C15" s="418">
        <f>IFERROR(C13/D4,"N.V.")</f>
        <v>0.4</v>
      </c>
      <c r="D15" s="419" t="str">
        <f>IFERROR((D13/D5),"N.V.")</f>
        <v>N.V.</v>
      </c>
      <c r="E15" s="348"/>
      <c r="F15" s="348"/>
      <c r="G15" s="348"/>
      <c r="H15" s="348"/>
      <c r="I15" s="348"/>
    </row>
    <row r="16" spans="2:10">
      <c r="B16" s="146"/>
      <c r="C16" s="142"/>
      <c r="D16" s="142"/>
      <c r="E16" s="142"/>
      <c r="F16" s="142"/>
      <c r="G16" s="142"/>
      <c r="H16" s="142"/>
      <c r="I16" s="142"/>
    </row>
    <row r="17" spans="1:9">
      <c r="B17" s="146"/>
      <c r="C17" s="142"/>
      <c r="D17" s="142"/>
      <c r="E17" s="142"/>
      <c r="F17" s="142"/>
      <c r="G17" s="142"/>
      <c r="H17" s="142"/>
      <c r="I17" s="142"/>
    </row>
    <row r="19" spans="1:9" ht="15.75" thickBot="1">
      <c r="A19" s="149"/>
      <c r="B19" s="149"/>
      <c r="C19" s="149"/>
      <c r="D19" s="149"/>
      <c r="E19" s="149"/>
      <c r="F19" s="149"/>
      <c r="G19" s="149"/>
    </row>
    <row r="20" spans="1:9" ht="36.75" customHeight="1" thickBot="1">
      <c r="A20" s="149"/>
      <c r="B20" s="283" t="s">
        <v>0</v>
      </c>
      <c r="C20" s="284"/>
      <c r="D20" s="284"/>
      <c r="E20" s="284"/>
      <c r="F20" s="284"/>
      <c r="G20" s="285"/>
    </row>
    <row r="21" spans="1:9" s="366" customFormat="1">
      <c r="A21" s="362"/>
      <c r="B21" s="363" t="s">
        <v>5</v>
      </c>
      <c r="C21" s="364" t="s">
        <v>6</v>
      </c>
      <c r="D21" s="364"/>
      <c r="E21" s="364"/>
      <c r="F21" s="364"/>
      <c r="G21" s="365" t="s">
        <v>7</v>
      </c>
    </row>
    <row r="22" spans="1:9" s="366" customFormat="1" outlineLevel="1">
      <c r="A22" s="362"/>
      <c r="B22" s="367">
        <v>110</v>
      </c>
      <c r="C22" s="368" t="s">
        <v>10</v>
      </c>
      <c r="D22" s="368"/>
      <c r="E22" s="368"/>
      <c r="F22" s="368"/>
      <c r="G22" s="358">
        <v>0</v>
      </c>
    </row>
    <row r="23" spans="1:9" s="366" customFormat="1" outlineLevel="1">
      <c r="A23" s="362"/>
      <c r="B23" s="369">
        <v>120</v>
      </c>
      <c r="C23" s="370" t="s">
        <v>14</v>
      </c>
      <c r="D23" s="370"/>
      <c r="E23" s="370"/>
      <c r="F23" s="370"/>
      <c r="G23" s="359">
        <v>0</v>
      </c>
    </row>
    <row r="24" spans="1:9" s="366" customFormat="1" outlineLevel="1">
      <c r="A24" s="362"/>
      <c r="B24" s="369">
        <v>130</v>
      </c>
      <c r="C24" s="370" t="s">
        <v>19</v>
      </c>
      <c r="D24" s="370"/>
      <c r="E24" s="370"/>
      <c r="F24" s="370"/>
      <c r="G24" s="359">
        <v>0</v>
      </c>
    </row>
    <row r="25" spans="1:9" s="366" customFormat="1" outlineLevel="1" collapsed="1">
      <c r="A25" s="362"/>
      <c r="B25" s="371">
        <v>100</v>
      </c>
      <c r="C25" s="372" t="s">
        <v>22</v>
      </c>
      <c r="D25" s="372"/>
      <c r="E25" s="372"/>
      <c r="F25" s="373"/>
      <c r="G25" s="360">
        <f>SUM(G22:G24)</f>
        <v>0</v>
      </c>
    </row>
    <row r="26" spans="1:9" s="366" customFormat="1">
      <c r="A26" s="362"/>
      <c r="B26" s="347"/>
      <c r="C26" s="370"/>
      <c r="D26" s="370"/>
      <c r="E26" s="370"/>
      <c r="F26" s="370"/>
      <c r="G26" s="374"/>
    </row>
    <row r="27" spans="1:9" s="366" customFormat="1" outlineLevel="1">
      <c r="A27" s="362"/>
      <c r="B27" s="375">
        <v>210</v>
      </c>
      <c r="C27" s="376" t="s">
        <v>25</v>
      </c>
      <c r="D27" s="376"/>
      <c r="E27" s="376"/>
      <c r="F27" s="376"/>
      <c r="G27" s="351">
        <v>0</v>
      </c>
    </row>
    <row r="28" spans="1:9" s="366" customFormat="1" outlineLevel="1">
      <c r="A28" s="362"/>
      <c r="B28" s="377">
        <v>220</v>
      </c>
      <c r="C28" s="378" t="s">
        <v>27</v>
      </c>
      <c r="D28" s="378"/>
      <c r="E28" s="378"/>
      <c r="F28" s="378"/>
      <c r="G28" s="352">
        <v>0</v>
      </c>
    </row>
    <row r="29" spans="1:9" s="366" customFormat="1" outlineLevel="1">
      <c r="A29" s="362"/>
      <c r="B29" s="377">
        <v>230</v>
      </c>
      <c r="C29" s="378" t="s">
        <v>29</v>
      </c>
      <c r="D29" s="378"/>
      <c r="E29" s="378"/>
      <c r="F29" s="378"/>
      <c r="G29" s="352">
        <v>0</v>
      </c>
    </row>
    <row r="30" spans="1:9" s="366" customFormat="1" outlineLevel="1">
      <c r="A30" s="362"/>
      <c r="B30" s="377">
        <v>240</v>
      </c>
      <c r="C30" s="378" t="s">
        <v>33</v>
      </c>
      <c r="D30" s="378"/>
      <c r="E30" s="378"/>
      <c r="F30" s="378"/>
      <c r="G30" s="352">
        <v>0</v>
      </c>
    </row>
    <row r="31" spans="1:9" s="366" customFormat="1" outlineLevel="1">
      <c r="A31" s="362"/>
      <c r="B31" s="377">
        <v>250</v>
      </c>
      <c r="C31" s="378" t="s">
        <v>36</v>
      </c>
      <c r="D31" s="378"/>
      <c r="E31" s="378"/>
      <c r="F31" s="378"/>
      <c r="G31" s="352">
        <v>0</v>
      </c>
    </row>
    <row r="32" spans="1:9" s="366" customFormat="1">
      <c r="A32" s="362"/>
      <c r="B32" s="371">
        <v>200</v>
      </c>
      <c r="C32" s="372" t="s">
        <v>39</v>
      </c>
      <c r="D32" s="372"/>
      <c r="E32" s="372"/>
      <c r="F32" s="373"/>
      <c r="G32" s="360">
        <f>SUM(G27:G31)</f>
        <v>0</v>
      </c>
    </row>
    <row r="33" spans="1:16" s="366" customFormat="1" ht="15.75" thickBot="1">
      <c r="A33" s="362"/>
      <c r="B33" s="379"/>
      <c r="C33" s="380"/>
      <c r="D33" s="380"/>
      <c r="E33" s="380"/>
      <c r="F33" s="380"/>
      <c r="G33" s="374"/>
    </row>
    <row r="34" spans="1:16" s="366" customFormat="1" outlineLevel="1">
      <c r="A34" s="362"/>
      <c r="B34" s="381">
        <v>310</v>
      </c>
      <c r="C34" s="382" t="s">
        <v>44</v>
      </c>
      <c r="D34" s="382"/>
      <c r="E34" s="382"/>
      <c r="F34" s="382"/>
      <c r="G34" s="356">
        <v>0</v>
      </c>
    </row>
    <row r="35" spans="1:16" s="366" customFormat="1" outlineLevel="1">
      <c r="A35" s="362"/>
      <c r="B35" s="369">
        <v>320</v>
      </c>
      <c r="C35" s="370" t="s">
        <v>47</v>
      </c>
      <c r="D35" s="370"/>
      <c r="E35" s="370"/>
      <c r="F35" s="370"/>
      <c r="G35" s="357"/>
    </row>
    <row r="36" spans="1:16" s="366" customFormat="1" outlineLevel="1">
      <c r="A36" s="362"/>
      <c r="B36" s="369">
        <v>330</v>
      </c>
      <c r="C36" s="370" t="s">
        <v>50</v>
      </c>
      <c r="D36" s="370"/>
      <c r="E36" s="370"/>
      <c r="F36" s="370"/>
      <c r="G36" s="357">
        <v>0</v>
      </c>
    </row>
    <row r="37" spans="1:16" s="366" customFormat="1" outlineLevel="1">
      <c r="A37" s="362"/>
      <c r="B37" s="369">
        <v>340</v>
      </c>
      <c r="C37" s="370" t="s">
        <v>53</v>
      </c>
      <c r="D37" s="370"/>
      <c r="E37" s="370"/>
      <c r="F37" s="370"/>
      <c r="G37" s="357">
        <v>0</v>
      </c>
    </row>
    <row r="38" spans="1:16" s="366" customFormat="1" outlineLevel="1">
      <c r="A38" s="362"/>
      <c r="B38" s="369">
        <v>350</v>
      </c>
      <c r="C38" s="370" t="s">
        <v>56</v>
      </c>
      <c r="D38" s="370"/>
      <c r="E38" s="370"/>
      <c r="F38" s="370"/>
      <c r="G38" s="357">
        <v>0</v>
      </c>
    </row>
    <row r="39" spans="1:16" s="366" customFormat="1" outlineLevel="1">
      <c r="A39" s="362"/>
      <c r="B39" s="369">
        <v>360</v>
      </c>
      <c r="C39" s="370" t="s">
        <v>59</v>
      </c>
      <c r="D39" s="370"/>
      <c r="E39" s="370"/>
      <c r="F39" s="370"/>
      <c r="G39" s="357">
        <v>0</v>
      </c>
    </row>
    <row r="40" spans="1:16" s="366" customFormat="1" outlineLevel="1">
      <c r="A40" s="362"/>
      <c r="B40" s="369">
        <v>370</v>
      </c>
      <c r="C40" s="370" t="s">
        <v>62</v>
      </c>
      <c r="D40" s="370"/>
      <c r="E40" s="370"/>
      <c r="F40" s="370"/>
      <c r="G40" s="357">
        <v>0</v>
      </c>
    </row>
    <row r="41" spans="1:16" s="366" customFormat="1" outlineLevel="1">
      <c r="A41" s="362"/>
      <c r="B41" s="369">
        <v>380</v>
      </c>
      <c r="C41" s="370" t="s">
        <v>64</v>
      </c>
      <c r="D41" s="370"/>
      <c r="E41" s="370"/>
      <c r="F41" s="370"/>
      <c r="G41" s="357">
        <v>0</v>
      </c>
    </row>
    <row r="42" spans="1:16" s="366" customFormat="1" outlineLevel="1">
      <c r="A42" s="362"/>
      <c r="B42" s="369">
        <v>390</v>
      </c>
      <c r="C42" s="370" t="s">
        <v>66</v>
      </c>
      <c r="D42" s="370"/>
      <c r="E42" s="370"/>
      <c r="F42" s="370"/>
      <c r="G42" s="357">
        <v>0</v>
      </c>
    </row>
    <row r="43" spans="1:16" s="366" customFormat="1" ht="15.75" thickBot="1">
      <c r="A43" s="362"/>
      <c r="B43" s="383">
        <v>300</v>
      </c>
      <c r="C43" s="384" t="s">
        <v>67</v>
      </c>
      <c r="D43" s="384"/>
      <c r="E43" s="384"/>
      <c r="F43" s="384"/>
      <c r="G43" s="332">
        <f>SUM(G34:G42)</f>
        <v>0</v>
      </c>
      <c r="O43" s="385"/>
      <c r="P43" s="386"/>
    </row>
    <row r="44" spans="1:16" s="366" customFormat="1">
      <c r="A44" s="362"/>
      <c r="B44" s="347"/>
      <c r="C44" s="370"/>
      <c r="D44" s="370"/>
      <c r="E44" s="370"/>
      <c r="F44" s="370"/>
      <c r="G44" s="387"/>
    </row>
    <row r="45" spans="1:16" s="366" customFormat="1" ht="15.75" thickBot="1">
      <c r="A45" s="362"/>
      <c r="B45" s="388" t="s">
        <v>180</v>
      </c>
      <c r="C45" s="389" t="s">
        <v>181</v>
      </c>
      <c r="D45" s="389" t="s">
        <v>183</v>
      </c>
      <c r="E45" s="389" t="s">
        <v>182</v>
      </c>
      <c r="F45" s="389" t="s">
        <v>184</v>
      </c>
      <c r="G45" s="390" t="s">
        <v>185</v>
      </c>
    </row>
    <row r="46" spans="1:16" s="366" customFormat="1">
      <c r="A46" s="362"/>
      <c r="B46" s="391">
        <v>410</v>
      </c>
      <c r="C46" s="392" t="s">
        <v>68</v>
      </c>
      <c r="D46" s="392"/>
      <c r="E46" s="392"/>
      <c r="F46" s="382"/>
      <c r="G46" s="333">
        <v>40000</v>
      </c>
    </row>
    <row r="47" spans="1:16" s="366" customFormat="1">
      <c r="A47" s="362"/>
      <c r="B47" s="388">
        <v>420</v>
      </c>
      <c r="C47" s="393" t="s">
        <v>70</v>
      </c>
      <c r="D47" s="393"/>
      <c r="E47" s="393"/>
      <c r="F47" s="370"/>
      <c r="G47" s="334">
        <v>30000</v>
      </c>
    </row>
    <row r="48" spans="1:16" s="366" customFormat="1">
      <c r="A48" s="362"/>
      <c r="B48" s="388">
        <v>430</v>
      </c>
      <c r="C48" s="393" t="s">
        <v>71</v>
      </c>
      <c r="D48" s="393"/>
      <c r="E48" s="393"/>
      <c r="F48" s="370"/>
      <c r="G48" s="334">
        <v>50000</v>
      </c>
    </row>
    <row r="49" spans="1:7" s="366" customFormat="1">
      <c r="A49" s="362"/>
      <c r="B49" s="388">
        <v>440</v>
      </c>
      <c r="C49" s="393" t="s">
        <v>73</v>
      </c>
      <c r="D49" s="393"/>
      <c r="E49" s="393"/>
      <c r="F49" s="370"/>
      <c r="G49" s="334">
        <v>30000</v>
      </c>
    </row>
    <row r="50" spans="1:7" s="366" customFormat="1">
      <c r="A50" s="362"/>
      <c r="B50" s="388">
        <v>450</v>
      </c>
      <c r="C50" s="393" t="s">
        <v>77</v>
      </c>
      <c r="D50" s="393"/>
      <c r="E50" s="393"/>
      <c r="F50" s="370"/>
      <c r="G50" s="334">
        <v>20000</v>
      </c>
    </row>
    <row r="51" spans="1:7" s="366" customFormat="1">
      <c r="A51" s="362"/>
      <c r="B51" s="388">
        <v>460</v>
      </c>
      <c r="C51" s="393" t="s">
        <v>79</v>
      </c>
      <c r="D51" s="393"/>
      <c r="E51" s="393"/>
      <c r="F51" s="370"/>
      <c r="G51" s="334">
        <v>40000</v>
      </c>
    </row>
    <row r="52" spans="1:7" s="366" customFormat="1">
      <c r="A52" s="362"/>
      <c r="B52" s="388">
        <v>470</v>
      </c>
      <c r="C52" s="393" t="s">
        <v>80</v>
      </c>
      <c r="D52" s="393"/>
      <c r="E52" s="393"/>
      <c r="F52" s="370"/>
      <c r="G52" s="334">
        <v>40000</v>
      </c>
    </row>
    <row r="53" spans="1:7" s="366" customFormat="1">
      <c r="A53" s="362"/>
      <c r="B53" s="388">
        <v>480</v>
      </c>
      <c r="C53" s="393" t="s">
        <v>81</v>
      </c>
      <c r="D53" s="393"/>
      <c r="E53" s="393"/>
      <c r="F53" s="370"/>
      <c r="G53" s="334">
        <v>10000</v>
      </c>
    </row>
    <row r="54" spans="1:7" s="366" customFormat="1">
      <c r="A54" s="362"/>
      <c r="B54" s="388">
        <v>490</v>
      </c>
      <c r="C54" s="393" t="s">
        <v>82</v>
      </c>
      <c r="D54" s="393"/>
      <c r="E54" s="393"/>
      <c r="F54" s="370"/>
      <c r="G54" s="334">
        <v>15000</v>
      </c>
    </row>
    <row r="55" spans="1:7" s="366" customFormat="1">
      <c r="A55" s="362"/>
      <c r="B55" s="394">
        <v>400</v>
      </c>
      <c r="C55" s="364" t="s">
        <v>261</v>
      </c>
      <c r="D55" s="364"/>
      <c r="E55" s="364"/>
      <c r="F55" s="364"/>
      <c r="G55" s="360">
        <f>SUM(G46:G54)</f>
        <v>275000</v>
      </c>
    </row>
    <row r="56" spans="1:7" s="366" customFormat="1">
      <c r="A56" s="362"/>
      <c r="B56" s="395"/>
      <c r="C56" s="396"/>
      <c r="D56" s="396"/>
      <c r="E56" s="396"/>
      <c r="F56" s="396"/>
      <c r="G56" s="397"/>
    </row>
    <row r="57" spans="1:7" s="366" customFormat="1" hidden="1" outlineLevel="1">
      <c r="A57" s="362"/>
      <c r="B57" s="375">
        <v>510</v>
      </c>
      <c r="C57" s="376" t="s">
        <v>84</v>
      </c>
      <c r="D57" s="376"/>
      <c r="E57" s="376"/>
      <c r="F57" s="376"/>
      <c r="G57" s="351">
        <v>0</v>
      </c>
    </row>
    <row r="58" spans="1:7" s="366" customFormat="1" hidden="1" outlineLevel="1">
      <c r="A58" s="362"/>
      <c r="B58" s="377">
        <v>520</v>
      </c>
      <c r="C58" s="378" t="s">
        <v>85</v>
      </c>
      <c r="D58" s="378"/>
      <c r="E58" s="378"/>
      <c r="F58" s="378"/>
      <c r="G58" s="352">
        <v>0</v>
      </c>
    </row>
    <row r="59" spans="1:7" s="366" customFormat="1" hidden="1" outlineLevel="1">
      <c r="A59" s="362"/>
      <c r="B59" s="377">
        <v>530</v>
      </c>
      <c r="C59" s="378" t="s">
        <v>86</v>
      </c>
      <c r="D59" s="378"/>
      <c r="E59" s="378"/>
      <c r="F59" s="378"/>
      <c r="G59" s="352">
        <v>0</v>
      </c>
    </row>
    <row r="60" spans="1:7" s="366" customFormat="1" hidden="1" outlineLevel="1">
      <c r="A60" s="362"/>
      <c r="B60" s="377">
        <v>540</v>
      </c>
      <c r="C60" s="378" t="s">
        <v>88</v>
      </c>
      <c r="D60" s="378"/>
      <c r="E60" s="378"/>
      <c r="F60" s="378"/>
      <c r="G60" s="352">
        <v>0</v>
      </c>
    </row>
    <row r="61" spans="1:7" s="366" customFormat="1" hidden="1" outlineLevel="1">
      <c r="A61" s="362"/>
      <c r="B61" s="377">
        <v>550</v>
      </c>
      <c r="C61" s="378" t="s">
        <v>90</v>
      </c>
      <c r="D61" s="378"/>
      <c r="E61" s="378"/>
      <c r="F61" s="378"/>
      <c r="G61" s="352">
        <v>0</v>
      </c>
    </row>
    <row r="62" spans="1:7" s="366" customFormat="1" hidden="1" outlineLevel="1">
      <c r="A62" s="362"/>
      <c r="B62" s="377">
        <v>560</v>
      </c>
      <c r="C62" s="378" t="s">
        <v>92</v>
      </c>
      <c r="D62" s="378"/>
      <c r="E62" s="378"/>
      <c r="F62" s="378"/>
      <c r="G62" s="353">
        <v>0</v>
      </c>
    </row>
    <row r="63" spans="1:7" s="366" customFormat="1" hidden="1" outlineLevel="1">
      <c r="A63" s="362"/>
      <c r="B63" s="377">
        <v>570</v>
      </c>
      <c r="C63" s="378" t="s">
        <v>93</v>
      </c>
      <c r="D63" s="378"/>
      <c r="E63" s="378"/>
      <c r="F63" s="378"/>
      <c r="G63" s="353">
        <v>0</v>
      </c>
    </row>
    <row r="64" spans="1:7" s="366" customFormat="1" hidden="1" outlineLevel="1">
      <c r="A64" s="362"/>
      <c r="B64" s="377">
        <v>580</v>
      </c>
      <c r="C64" s="378" t="s">
        <v>94</v>
      </c>
      <c r="D64" s="378"/>
      <c r="E64" s="378"/>
      <c r="F64" s="378"/>
      <c r="G64" s="353">
        <v>0</v>
      </c>
    </row>
    <row r="65" spans="1:7" s="366" customFormat="1" hidden="1" outlineLevel="1">
      <c r="A65" s="362"/>
      <c r="B65" s="377">
        <v>590</v>
      </c>
      <c r="C65" s="378" t="s">
        <v>95</v>
      </c>
      <c r="D65" s="378"/>
      <c r="E65" s="378"/>
      <c r="F65" s="378"/>
      <c r="G65" s="352">
        <v>0</v>
      </c>
    </row>
    <row r="66" spans="1:7" s="366" customFormat="1" collapsed="1">
      <c r="A66" s="362"/>
      <c r="B66" s="371">
        <v>500</v>
      </c>
      <c r="C66" s="372" t="s">
        <v>96</v>
      </c>
      <c r="D66" s="372"/>
      <c r="E66" s="372"/>
      <c r="F66" s="373"/>
      <c r="G66" s="360">
        <f>SUM(G57:G65)</f>
        <v>0</v>
      </c>
    </row>
    <row r="67" spans="1:7" s="366" customFormat="1">
      <c r="A67" s="362"/>
      <c r="B67" s="347"/>
      <c r="C67" s="398"/>
      <c r="D67" s="398"/>
      <c r="E67" s="398"/>
      <c r="F67" s="398"/>
      <c r="G67" s="399"/>
    </row>
    <row r="68" spans="1:7" s="366" customFormat="1" hidden="1" outlineLevel="1">
      <c r="A68" s="362"/>
      <c r="B68" s="375">
        <v>610</v>
      </c>
      <c r="C68" s="376" t="s">
        <v>97</v>
      </c>
      <c r="D68" s="376"/>
      <c r="E68" s="376"/>
      <c r="F68" s="376"/>
      <c r="G68" s="351">
        <v>0</v>
      </c>
    </row>
    <row r="69" spans="1:7" s="366" customFormat="1" hidden="1" outlineLevel="1">
      <c r="A69" s="362"/>
      <c r="B69" s="377">
        <v>620</v>
      </c>
      <c r="C69" s="378" t="s">
        <v>98</v>
      </c>
      <c r="D69" s="378"/>
      <c r="E69" s="378"/>
      <c r="F69" s="378"/>
      <c r="G69" s="354">
        <v>0</v>
      </c>
    </row>
    <row r="70" spans="1:7" s="366" customFormat="1" hidden="1" outlineLevel="1">
      <c r="A70" s="362"/>
      <c r="B70" s="377">
        <v>630</v>
      </c>
      <c r="C70" s="378" t="s">
        <v>99</v>
      </c>
      <c r="D70" s="378"/>
      <c r="E70" s="378"/>
      <c r="F70" s="378"/>
      <c r="G70" s="354">
        <v>0</v>
      </c>
    </row>
    <row r="71" spans="1:7" s="366" customFormat="1" hidden="1" outlineLevel="1">
      <c r="A71" s="362"/>
      <c r="B71" s="377">
        <v>640</v>
      </c>
      <c r="C71" s="378" t="s">
        <v>100</v>
      </c>
      <c r="D71" s="378"/>
      <c r="E71" s="378"/>
      <c r="F71" s="378"/>
      <c r="G71" s="354">
        <v>0</v>
      </c>
    </row>
    <row r="72" spans="1:7" s="366" customFormat="1" hidden="1" outlineLevel="1">
      <c r="A72" s="362"/>
      <c r="B72" s="377">
        <v>690</v>
      </c>
      <c r="C72" s="378" t="s">
        <v>101</v>
      </c>
      <c r="D72" s="378"/>
      <c r="E72" s="378"/>
      <c r="F72" s="378"/>
      <c r="G72" s="354">
        <v>0</v>
      </c>
    </row>
    <row r="73" spans="1:7" s="366" customFormat="1" collapsed="1">
      <c r="A73" s="362"/>
      <c r="B73" s="371">
        <v>600</v>
      </c>
      <c r="C73" s="372" t="s">
        <v>102</v>
      </c>
      <c r="D73" s="372"/>
      <c r="E73" s="372"/>
      <c r="F73" s="373"/>
      <c r="G73" s="360">
        <f>SUM(G68:G72)</f>
        <v>0</v>
      </c>
    </row>
    <row r="74" spans="1:7" s="366" customFormat="1">
      <c r="A74" s="362"/>
      <c r="B74" s="347"/>
      <c r="C74" s="370"/>
      <c r="D74" s="370"/>
      <c r="E74" s="370"/>
      <c r="F74" s="370"/>
      <c r="G74" s="400"/>
    </row>
    <row r="75" spans="1:7" s="366" customFormat="1" hidden="1" outlineLevel="1">
      <c r="A75" s="362"/>
      <c r="B75" s="375">
        <v>710</v>
      </c>
      <c r="C75" s="376" t="s">
        <v>103</v>
      </c>
      <c r="D75" s="376"/>
      <c r="E75" s="376"/>
      <c r="F75" s="376"/>
      <c r="G75" s="355">
        <v>0</v>
      </c>
    </row>
    <row r="76" spans="1:7" s="366" customFormat="1" hidden="1" outlineLevel="1">
      <c r="A76" s="362"/>
      <c r="B76" s="377">
        <v>720</v>
      </c>
      <c r="C76" s="378" t="s">
        <v>104</v>
      </c>
      <c r="D76" s="378"/>
      <c r="E76" s="378"/>
      <c r="F76" s="378"/>
      <c r="G76" s="354">
        <v>0</v>
      </c>
    </row>
    <row r="77" spans="1:7" s="366" customFormat="1" hidden="1" outlineLevel="1">
      <c r="A77" s="362"/>
      <c r="B77" s="377">
        <v>730</v>
      </c>
      <c r="C77" s="378" t="s">
        <v>105</v>
      </c>
      <c r="D77" s="378"/>
      <c r="E77" s="378"/>
      <c r="F77" s="378"/>
      <c r="G77" s="354">
        <v>0</v>
      </c>
    </row>
    <row r="78" spans="1:7" s="366" customFormat="1" hidden="1" outlineLevel="1">
      <c r="A78" s="362"/>
      <c r="B78" s="377">
        <v>740</v>
      </c>
      <c r="C78" s="378" t="s">
        <v>106</v>
      </c>
      <c r="D78" s="378"/>
      <c r="E78" s="378"/>
      <c r="F78" s="378"/>
      <c r="G78" s="354">
        <v>0</v>
      </c>
    </row>
    <row r="79" spans="1:7" s="366" customFormat="1" hidden="1" outlineLevel="1">
      <c r="A79" s="362"/>
      <c r="B79" s="377">
        <v>750</v>
      </c>
      <c r="C79" s="378" t="s">
        <v>107</v>
      </c>
      <c r="D79" s="378"/>
      <c r="E79" s="378"/>
      <c r="F79" s="378"/>
      <c r="G79" s="354">
        <v>0</v>
      </c>
    </row>
    <row r="80" spans="1:7" s="366" customFormat="1" hidden="1" outlineLevel="1">
      <c r="A80" s="362"/>
      <c r="B80" s="377">
        <v>760</v>
      </c>
      <c r="C80" s="378" t="s">
        <v>108</v>
      </c>
      <c r="D80" s="378"/>
      <c r="E80" s="378"/>
      <c r="F80" s="378"/>
      <c r="G80" s="354">
        <v>0</v>
      </c>
    </row>
    <row r="81" spans="1:7" s="366" customFormat="1" hidden="1" outlineLevel="1">
      <c r="A81" s="362"/>
      <c r="B81" s="377">
        <v>770</v>
      </c>
      <c r="C81" s="378" t="s">
        <v>109</v>
      </c>
      <c r="D81" s="378"/>
      <c r="E81" s="378"/>
      <c r="F81" s="378"/>
      <c r="G81" s="354">
        <v>0</v>
      </c>
    </row>
    <row r="82" spans="1:7" s="366" customFormat="1" hidden="1" outlineLevel="1">
      <c r="A82" s="362"/>
      <c r="B82" s="377">
        <v>790</v>
      </c>
      <c r="C82" s="378" t="s">
        <v>110</v>
      </c>
      <c r="D82" s="378"/>
      <c r="E82" s="378"/>
      <c r="F82" s="378"/>
      <c r="G82" s="354">
        <v>0</v>
      </c>
    </row>
    <row r="83" spans="1:7" s="366" customFormat="1" collapsed="1">
      <c r="A83" s="362"/>
      <c r="B83" s="371">
        <v>700</v>
      </c>
      <c r="C83" s="372" t="s">
        <v>111</v>
      </c>
      <c r="D83" s="372"/>
      <c r="E83" s="372"/>
      <c r="F83" s="373"/>
      <c r="G83" s="360">
        <f>SUM(G75:G82)</f>
        <v>0</v>
      </c>
    </row>
    <row r="84" spans="1:7" s="366" customFormat="1">
      <c r="A84" s="362"/>
      <c r="B84" s="347"/>
      <c r="C84" s="370"/>
      <c r="D84" s="370"/>
      <c r="E84" s="370"/>
      <c r="F84" s="370"/>
      <c r="G84" s="400"/>
    </row>
    <row r="85" spans="1:7" s="366" customFormat="1" hidden="1" outlineLevel="1">
      <c r="A85" s="362"/>
      <c r="B85" s="375">
        <v>810</v>
      </c>
      <c r="C85" s="376" t="s">
        <v>112</v>
      </c>
      <c r="D85" s="376"/>
      <c r="E85" s="376"/>
      <c r="F85" s="376"/>
      <c r="G85" s="351">
        <v>0</v>
      </c>
    </row>
    <row r="86" spans="1:7" s="366" customFormat="1" hidden="1" outlineLevel="1">
      <c r="A86" s="362"/>
      <c r="B86" s="377">
        <v>820</v>
      </c>
      <c r="C86" s="378" t="s">
        <v>113</v>
      </c>
      <c r="D86" s="378"/>
      <c r="E86" s="378"/>
      <c r="F86" s="378"/>
      <c r="G86" s="352">
        <v>0</v>
      </c>
    </row>
    <row r="87" spans="1:7" s="366" customFormat="1" hidden="1" outlineLevel="1">
      <c r="A87" s="362"/>
      <c r="B87" s="377">
        <v>830</v>
      </c>
      <c r="C87" s="378" t="s">
        <v>114</v>
      </c>
      <c r="D87" s="378"/>
      <c r="E87" s="378"/>
      <c r="F87" s="378"/>
      <c r="G87" s="352">
        <v>0</v>
      </c>
    </row>
    <row r="88" spans="1:7" s="366" customFormat="1" hidden="1" outlineLevel="1">
      <c r="A88" s="362"/>
      <c r="B88" s="377">
        <v>840</v>
      </c>
      <c r="C88" s="378" t="s">
        <v>115</v>
      </c>
      <c r="D88" s="378"/>
      <c r="E88" s="378"/>
      <c r="F88" s="378"/>
      <c r="G88" s="352">
        <v>0</v>
      </c>
    </row>
    <row r="89" spans="1:7" s="366" customFormat="1" ht="15.75" collapsed="1" thickBot="1">
      <c r="A89" s="362"/>
      <c r="B89" s="401">
        <v>800</v>
      </c>
      <c r="C89" s="402" t="s">
        <v>116</v>
      </c>
      <c r="D89" s="402"/>
      <c r="E89" s="402"/>
      <c r="F89" s="403"/>
      <c r="G89" s="361">
        <f>SUM(G85:G88)</f>
        <v>0</v>
      </c>
    </row>
    <row r="90" spans="1:7" ht="15.75" thickBot="1">
      <c r="A90" s="149"/>
      <c r="B90" s="149"/>
      <c r="C90" s="168"/>
      <c r="D90" s="168"/>
      <c r="E90" s="168"/>
      <c r="F90" s="168"/>
      <c r="G90" s="149"/>
    </row>
    <row r="91" spans="1:7" ht="15.75" thickBot="1">
      <c r="B91" s="282" t="s">
        <v>131</v>
      </c>
      <c r="C91" s="281"/>
      <c r="D91" s="281"/>
      <c r="E91" s="281"/>
      <c r="F91" s="281"/>
      <c r="G91" s="194">
        <f>G25+G32+G43+G55+G66+G73+G83+G89</f>
        <v>275000</v>
      </c>
    </row>
    <row r="92" spans="1:7" ht="15.75" thickBot="1"/>
    <row r="93" spans="1:7" ht="15.75" thickBot="1">
      <c r="B93" s="318" t="s">
        <v>262</v>
      </c>
      <c r="C93" s="315"/>
      <c r="D93" s="316"/>
      <c r="E93" s="335" t="s">
        <v>263</v>
      </c>
      <c r="F93" s="149"/>
      <c r="G93" s="149"/>
    </row>
    <row r="94" spans="1:7" ht="15.75" thickBot="1">
      <c r="D94" s="317" t="s">
        <v>264</v>
      </c>
      <c r="E94" s="336">
        <v>0</v>
      </c>
    </row>
    <row r="96" spans="1:7" ht="15.75" thickBot="1">
      <c r="A96" s="149"/>
      <c r="B96" s="149"/>
      <c r="C96" s="149"/>
      <c r="D96" s="149"/>
      <c r="E96" s="149"/>
      <c r="F96" s="149"/>
      <c r="G96" s="149"/>
    </row>
    <row r="97" spans="1:7" ht="28.5" customHeight="1" thickBot="1">
      <c r="A97" s="149"/>
      <c r="B97" s="286" t="s">
        <v>1</v>
      </c>
      <c r="C97" s="287"/>
      <c r="D97" s="287"/>
      <c r="E97" s="287"/>
      <c r="F97" s="287"/>
      <c r="G97" s="288"/>
    </row>
    <row r="98" spans="1:7">
      <c r="A98" s="149"/>
      <c r="B98" s="1" t="s">
        <v>2</v>
      </c>
      <c r="C98" s="2"/>
      <c r="D98" s="2" t="s">
        <v>3</v>
      </c>
      <c r="E98" s="2" t="s">
        <v>4</v>
      </c>
      <c r="F98" s="2" t="s">
        <v>8</v>
      </c>
      <c r="G98" s="3" t="s">
        <v>9</v>
      </c>
    </row>
    <row r="99" spans="1:7">
      <c r="A99" s="149"/>
      <c r="B99" s="4" t="s">
        <v>11</v>
      </c>
      <c r="D99" t="s">
        <v>12</v>
      </c>
      <c r="E99" s="337">
        <v>20000</v>
      </c>
      <c r="F99" s="339">
        <v>0.24</v>
      </c>
      <c r="G99" s="12">
        <f>E99*F99</f>
        <v>4800</v>
      </c>
    </row>
    <row r="100" spans="1:7">
      <c r="A100" s="149"/>
      <c r="B100" s="4" t="s">
        <v>15</v>
      </c>
      <c r="D100" t="s">
        <v>16</v>
      </c>
      <c r="E100" s="337">
        <v>20000</v>
      </c>
      <c r="F100" s="339">
        <v>0.06</v>
      </c>
      <c r="G100" s="12">
        <f>E100*F100</f>
        <v>1200</v>
      </c>
    </row>
    <row r="101" spans="1:7">
      <c r="A101" s="149"/>
      <c r="B101" s="4" t="s">
        <v>20</v>
      </c>
      <c r="D101" t="s">
        <v>21</v>
      </c>
      <c r="E101" s="337">
        <v>5000</v>
      </c>
      <c r="F101" s="339">
        <v>4.2699999999999996</v>
      </c>
      <c r="G101" s="12">
        <f>E101*F101</f>
        <v>21349.999999999996</v>
      </c>
    </row>
    <row r="102" spans="1:7" ht="15.75" thickBot="1">
      <c r="A102" s="149"/>
      <c r="B102" s="6" t="s">
        <v>23</v>
      </c>
      <c r="C102" s="7"/>
      <c r="D102" s="7" t="s">
        <v>24</v>
      </c>
      <c r="E102" s="338">
        <v>1840</v>
      </c>
      <c r="F102" s="340">
        <v>20</v>
      </c>
      <c r="G102" s="13">
        <f>E102*F102</f>
        <v>36800</v>
      </c>
    </row>
    <row r="103" spans="1:7" ht="15" customHeight="1">
      <c r="A103" s="149"/>
      <c r="B103" s="286" t="s">
        <v>26</v>
      </c>
      <c r="C103" s="286"/>
      <c r="D103" s="286"/>
      <c r="E103" s="286"/>
      <c r="F103" s="286"/>
      <c r="G103" s="286"/>
    </row>
    <row r="104" spans="1:7">
      <c r="A104" s="149"/>
      <c r="B104" s="8" t="s">
        <v>28</v>
      </c>
      <c r="C104" s="8" t="s">
        <v>2</v>
      </c>
      <c r="D104" s="8" t="s">
        <v>3</v>
      </c>
      <c r="E104" s="8" t="s">
        <v>4</v>
      </c>
      <c r="F104" s="8" t="s">
        <v>8</v>
      </c>
      <c r="G104" s="8" t="s">
        <v>9</v>
      </c>
    </row>
    <row r="105" spans="1:7">
      <c r="A105" s="149"/>
      <c r="B105" s="69" t="s">
        <v>31</v>
      </c>
      <c r="C105" t="s">
        <v>30</v>
      </c>
      <c r="D105" t="s">
        <v>32</v>
      </c>
      <c r="E105" s="337">
        <v>10000</v>
      </c>
      <c r="F105" s="339">
        <v>0.85</v>
      </c>
      <c r="G105" s="12">
        <f t="shared" ref="G105:G117" si="0">E105*F105</f>
        <v>8500</v>
      </c>
    </row>
    <row r="106" spans="1:7" ht="18.75">
      <c r="A106" s="149"/>
      <c r="B106" s="69" t="s">
        <v>35</v>
      </c>
      <c r="C106" t="s">
        <v>34</v>
      </c>
      <c r="D106" t="s">
        <v>32</v>
      </c>
      <c r="E106" s="337">
        <v>10000</v>
      </c>
      <c r="F106" s="339">
        <v>0.3</v>
      </c>
      <c r="G106" s="14">
        <f t="shared" si="0"/>
        <v>3000</v>
      </c>
    </row>
    <row r="107" spans="1:7" ht="18.75">
      <c r="A107" s="149"/>
      <c r="B107" s="69" t="s">
        <v>38</v>
      </c>
      <c r="C107" t="s">
        <v>37</v>
      </c>
      <c r="D107" t="s">
        <v>32</v>
      </c>
      <c r="E107" s="337">
        <v>15000</v>
      </c>
      <c r="F107" s="339">
        <v>0.66</v>
      </c>
      <c r="G107" s="14">
        <f>E107*F107</f>
        <v>9900</v>
      </c>
    </row>
    <row r="108" spans="1:7" ht="18.75">
      <c r="A108" s="149"/>
      <c r="B108" s="69" t="s">
        <v>41</v>
      </c>
      <c r="C108" t="s">
        <v>40</v>
      </c>
      <c r="D108" t="s">
        <v>32</v>
      </c>
      <c r="E108" s="337"/>
      <c r="F108" s="339">
        <v>2.16</v>
      </c>
      <c r="G108" s="14">
        <f t="shared" si="0"/>
        <v>0</v>
      </c>
    </row>
    <row r="109" spans="1:7">
      <c r="A109" s="149"/>
      <c r="B109" s="69" t="s">
        <v>43</v>
      </c>
      <c r="C109" t="s">
        <v>42</v>
      </c>
      <c r="D109" t="s">
        <v>32</v>
      </c>
      <c r="E109" s="337"/>
      <c r="F109" s="339">
        <v>1.04</v>
      </c>
      <c r="G109" s="14">
        <f t="shared" si="0"/>
        <v>0</v>
      </c>
    </row>
    <row r="110" spans="1:7" ht="18.75">
      <c r="A110" s="149"/>
      <c r="B110" s="69" t="s">
        <v>46</v>
      </c>
      <c r="C110" t="s">
        <v>45</v>
      </c>
      <c r="D110" t="s">
        <v>32</v>
      </c>
      <c r="E110" s="337"/>
      <c r="F110" s="339">
        <v>2.09</v>
      </c>
      <c r="G110" s="14">
        <f t="shared" si="0"/>
        <v>0</v>
      </c>
    </row>
    <row r="111" spans="1:7" ht="18.75">
      <c r="A111" s="149"/>
      <c r="B111" s="69" t="s">
        <v>49</v>
      </c>
      <c r="C111" t="s">
        <v>48</v>
      </c>
      <c r="D111" t="s">
        <v>32</v>
      </c>
      <c r="E111" s="337"/>
      <c r="F111" s="339">
        <v>0.87</v>
      </c>
      <c r="G111" s="14">
        <f>E111*F111</f>
        <v>0</v>
      </c>
    </row>
    <row r="112" spans="1:7" ht="18.75">
      <c r="A112" s="149"/>
      <c r="B112" s="69" t="s">
        <v>52</v>
      </c>
      <c r="C112" t="s">
        <v>51</v>
      </c>
      <c r="D112" t="s">
        <v>32</v>
      </c>
      <c r="E112" s="337">
        <v>5000</v>
      </c>
      <c r="F112" s="339">
        <v>0.76</v>
      </c>
      <c r="G112" s="14">
        <f t="shared" si="0"/>
        <v>3800</v>
      </c>
    </row>
    <row r="113" spans="1:7">
      <c r="A113" s="149"/>
      <c r="B113" s="69" t="s">
        <v>55</v>
      </c>
      <c r="C113" t="s">
        <v>54</v>
      </c>
      <c r="D113" t="s">
        <v>32</v>
      </c>
      <c r="E113" s="337"/>
      <c r="F113" s="339">
        <v>0</v>
      </c>
      <c r="G113" s="14">
        <f t="shared" si="0"/>
        <v>0</v>
      </c>
    </row>
    <row r="114" spans="1:7">
      <c r="A114" s="149"/>
      <c r="B114" s="69" t="s">
        <v>58</v>
      </c>
      <c r="C114" t="s">
        <v>57</v>
      </c>
      <c r="D114" t="s">
        <v>32</v>
      </c>
      <c r="E114" s="337"/>
      <c r="F114" s="339">
        <v>2.06</v>
      </c>
      <c r="G114" s="14">
        <f t="shared" si="0"/>
        <v>0</v>
      </c>
    </row>
    <row r="115" spans="1:7">
      <c r="A115" s="149"/>
      <c r="B115" s="69" t="s">
        <v>61</v>
      </c>
      <c r="C115" t="s">
        <v>60</v>
      </c>
      <c r="D115" t="s">
        <v>32</v>
      </c>
      <c r="E115" s="337"/>
      <c r="F115" s="339">
        <v>0</v>
      </c>
      <c r="G115" s="14">
        <f t="shared" si="0"/>
        <v>0</v>
      </c>
    </row>
    <row r="116" spans="1:7">
      <c r="A116" s="149"/>
      <c r="B116" s="69" t="s">
        <v>61</v>
      </c>
      <c r="C116" t="s">
        <v>63</v>
      </c>
      <c r="D116" t="s">
        <v>32</v>
      </c>
      <c r="E116" s="337"/>
      <c r="F116" s="339">
        <v>0</v>
      </c>
      <c r="G116" s="14">
        <f t="shared" si="0"/>
        <v>0</v>
      </c>
    </row>
    <row r="117" spans="1:7">
      <c r="A117" s="149"/>
      <c r="B117" s="69" t="s">
        <v>61</v>
      </c>
      <c r="C117" t="s">
        <v>65</v>
      </c>
      <c r="D117" t="s">
        <v>32</v>
      </c>
      <c r="E117" s="337"/>
      <c r="F117" s="339">
        <v>0</v>
      </c>
      <c r="G117" s="14">
        <f t="shared" si="0"/>
        <v>0</v>
      </c>
    </row>
    <row r="118" spans="1:7" ht="15.75" thickBot="1">
      <c r="A118" s="149"/>
      <c r="B118" s="149"/>
      <c r="C118" s="149"/>
      <c r="D118" s="149"/>
      <c r="E118" s="149"/>
      <c r="F118" s="24"/>
      <c r="G118" s="169"/>
    </row>
    <row r="119" spans="1:7">
      <c r="A119" s="149"/>
      <c r="B119" s="174" t="s">
        <v>69</v>
      </c>
      <c r="C119" s="175"/>
      <c r="D119" s="175"/>
      <c r="E119" s="175"/>
      <c r="F119" s="175"/>
      <c r="G119" s="176"/>
    </row>
    <row r="120" spans="1:7">
      <c r="A120" s="149"/>
      <c r="B120" s="140" t="s">
        <v>2</v>
      </c>
      <c r="C120" s="141"/>
      <c r="D120" s="141" t="s">
        <v>3</v>
      </c>
      <c r="E120" s="141" t="s">
        <v>4</v>
      </c>
      <c r="F120" s="141" t="s">
        <v>8</v>
      </c>
      <c r="G120" s="171" t="s">
        <v>9</v>
      </c>
    </row>
    <row r="121" spans="1:7">
      <c r="A121" s="149"/>
      <c r="B121" s="4" t="s">
        <v>72</v>
      </c>
      <c r="C121" s="142"/>
      <c r="D121" s="142" t="s">
        <v>148</v>
      </c>
      <c r="E121" s="337">
        <v>100000</v>
      </c>
      <c r="F121" s="325">
        <f>Randbedingungen!E47</f>
        <v>0.54</v>
      </c>
      <c r="G121" s="15">
        <f>E121*F121</f>
        <v>54000</v>
      </c>
    </row>
    <row r="122" spans="1:7">
      <c r="A122" s="149"/>
      <c r="B122" s="4" t="s">
        <v>270</v>
      </c>
      <c r="C122" s="142" t="s">
        <v>75</v>
      </c>
      <c r="D122" s="142" t="s">
        <v>76</v>
      </c>
      <c r="E122" s="342">
        <v>0.02</v>
      </c>
      <c r="F122" s="24">
        <v>0</v>
      </c>
      <c r="G122" s="15">
        <f>E122*($G$43+$G$55)</f>
        <v>5500</v>
      </c>
    </row>
    <row r="123" spans="1:7" ht="15.75" thickBot="1">
      <c r="A123" s="149"/>
      <c r="B123" s="6" t="s">
        <v>78</v>
      </c>
      <c r="C123" s="7" t="s">
        <v>75</v>
      </c>
      <c r="D123" s="7" t="s">
        <v>76</v>
      </c>
      <c r="E123" s="343">
        <v>0.01</v>
      </c>
      <c r="F123" s="87">
        <v>0</v>
      </c>
      <c r="G123" s="172">
        <f>E123*($G$43+$G$55)</f>
        <v>2750</v>
      </c>
    </row>
    <row r="124" spans="1:7" ht="15.75" thickBot="1">
      <c r="A124" s="149"/>
      <c r="B124" s="149"/>
      <c r="C124" s="149"/>
      <c r="D124" s="149"/>
      <c r="E124" s="149"/>
      <c r="F124" s="149"/>
      <c r="G124" s="149"/>
    </row>
    <row r="125" spans="1:7" ht="15.75" thickBot="1">
      <c r="A125" s="149"/>
      <c r="B125" s="177" t="s">
        <v>139</v>
      </c>
      <c r="C125" s="178"/>
      <c r="D125" s="178"/>
      <c r="E125" s="178"/>
      <c r="F125" s="178"/>
      <c r="G125" s="179"/>
    </row>
    <row r="126" spans="1:7">
      <c r="A126" s="149"/>
      <c r="B126" s="9" t="s">
        <v>2</v>
      </c>
      <c r="C126" s="10" t="s">
        <v>174</v>
      </c>
      <c r="D126" s="10" t="s">
        <v>3</v>
      </c>
      <c r="E126" s="10" t="s">
        <v>4</v>
      </c>
      <c r="F126" s="10" t="s">
        <v>8</v>
      </c>
      <c r="G126" s="11" t="s">
        <v>9</v>
      </c>
    </row>
    <row r="127" spans="1:7">
      <c r="A127" s="149"/>
      <c r="B127" s="347" t="s">
        <v>83</v>
      </c>
      <c r="C127" s="348"/>
      <c r="D127" s="348" t="s">
        <v>32</v>
      </c>
      <c r="E127" s="337">
        <v>120000</v>
      </c>
      <c r="F127" s="339">
        <v>1.3</v>
      </c>
      <c r="G127" s="15">
        <f t="shared" ref="G127:G131" si="1">E127*F127</f>
        <v>156000</v>
      </c>
    </row>
    <row r="128" spans="1:7">
      <c r="A128" s="149"/>
      <c r="B128" s="347" t="s">
        <v>87</v>
      </c>
      <c r="C128" s="348"/>
      <c r="D128" s="348" t="s">
        <v>32</v>
      </c>
      <c r="E128" s="337">
        <v>20000</v>
      </c>
      <c r="F128" s="341">
        <v>0.9</v>
      </c>
      <c r="G128" s="15">
        <f t="shared" si="1"/>
        <v>18000</v>
      </c>
    </row>
    <row r="129" spans="1:7">
      <c r="A129" s="149"/>
      <c r="B129" s="347" t="s">
        <v>89</v>
      </c>
      <c r="C129" s="348"/>
      <c r="D129" s="348" t="s">
        <v>32</v>
      </c>
      <c r="E129" s="337"/>
      <c r="F129" s="345">
        <v>0</v>
      </c>
      <c r="G129" s="15">
        <f t="shared" si="1"/>
        <v>0</v>
      </c>
    </row>
    <row r="130" spans="1:7">
      <c r="A130" s="149"/>
      <c r="B130" s="347" t="s">
        <v>91</v>
      </c>
      <c r="C130" s="348"/>
      <c r="D130" s="348" t="s">
        <v>32</v>
      </c>
      <c r="E130" s="337"/>
      <c r="F130" s="345">
        <v>0</v>
      </c>
      <c r="G130" s="15">
        <f t="shared" si="1"/>
        <v>0</v>
      </c>
    </row>
    <row r="131" spans="1:7" ht="15.75" thickBot="1">
      <c r="A131" s="149"/>
      <c r="B131" s="349"/>
      <c r="C131" s="350"/>
      <c r="D131" s="350"/>
      <c r="E131" s="344"/>
      <c r="F131" s="346">
        <v>0</v>
      </c>
      <c r="G131" s="173">
        <f t="shared" si="1"/>
        <v>0</v>
      </c>
    </row>
    <row r="132" spans="1:7">
      <c r="A132" s="149"/>
      <c r="B132" s="149"/>
      <c r="C132" s="149"/>
      <c r="D132" s="149"/>
      <c r="E132" s="149"/>
      <c r="F132" s="149"/>
      <c r="G132" s="149"/>
    </row>
  </sheetData>
  <phoneticPr fontId="8" type="noConversion"/>
  <dataValidations count="3">
    <dataValidation type="list" allowBlank="1" showInputMessage="1" showErrorMessage="1" sqref="C10 E93" xr:uid="{7476468A-1A49-4CBE-BBBC-9D391703410C}">
      <formula1>"Ja,Nein"</formula1>
    </dataValidation>
    <dataValidation type="list" allowBlank="1" showInputMessage="1" showErrorMessage="1" sqref="C11 C7" xr:uid="{757B2FA1-D431-4A4E-9241-0B7B91157CF7}">
      <formula1>"Ausbaugrad,KSA-Menge"</formula1>
    </dataValidation>
    <dataValidation type="list" allowBlank="1" showInputMessage="1" showErrorMessage="1" sqref="E122:E123" xr:uid="{D2F2EAF4-87C0-40D5-8DBB-DCB7EEAF5E5A}">
      <mc:AlternateContent xmlns:x12ac="http://schemas.microsoft.com/office/spreadsheetml/2011/1/ac" xmlns:mc="http://schemas.openxmlformats.org/markup-compatibility/2006">
        <mc:Choice Requires="x12ac">
          <x12ac:list>1%,"1,5%",2%,"2,5%",3%</x12ac:list>
        </mc:Choice>
        <mc:Fallback>
          <formula1>"1%,1,5%,2%,2,5%,3%"</formula1>
        </mc:Fallback>
      </mc:AlternateContent>
    </dataValidation>
  </dataValidations>
  <pageMargins left="0" right="0" top="0" bottom="0" header="0" footer="0"/>
  <pageSetup paperSize="9" orientation="portrait" r:id="rId1"/>
  <headerFooter scaleWithDoc="0" alignWithMargins="0"/>
  <tableParts count="3">
    <tablePart r:id="rId2"/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4D4987A-A69C-4649-822A-575BD94C695C}">
          <x14:formula1>
            <xm:f>Hilfsblatt!$C$10:$I$10</xm:f>
          </x14:formula1>
          <xm:sqref>C13</xm:sqref>
        </x14:dataValidation>
        <x14:dataValidation type="list" allowBlank="1" showInputMessage="1" showErrorMessage="1" xr:uid="{FF032BF5-68DF-4048-8EB7-DC962F0472BD}">
          <x14:formula1>
            <xm:f>Hilfsblatt!$C$11:$I$11</xm:f>
          </x14:formula1>
          <xm:sqref>D13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B3C7-9C45-44FD-B28B-AFBA246B7420}">
  <dimension ref="B2:G53"/>
  <sheetViews>
    <sheetView showGridLines="0" showOutlineSymbols="0" showWhiteSpace="0" zoomScaleNormal="100" zoomScaleSheetLayoutView="130" workbookViewId="0">
      <selection activeCell="E18" sqref="E18"/>
    </sheetView>
  </sheetViews>
  <sheetFormatPr baseColWidth="10" defaultRowHeight="15"/>
  <cols>
    <col min="3" max="3" width="18.85546875" customWidth="1"/>
    <col min="5" max="5" width="14.140625" customWidth="1"/>
    <col min="6" max="6" width="11.42578125" style="149"/>
  </cols>
  <sheetData>
    <row r="2" spans="2:7" ht="15.75" thickBot="1"/>
    <row r="3" spans="2:7">
      <c r="B3" s="435" t="s">
        <v>117</v>
      </c>
      <c r="C3" s="436"/>
      <c r="D3" s="436"/>
      <c r="E3" s="437"/>
      <c r="F3" s="191"/>
      <c r="G3" s="191"/>
    </row>
    <row r="4" spans="2:7">
      <c r="B4" s="16" t="s">
        <v>119</v>
      </c>
      <c r="C4" s="17"/>
      <c r="D4" s="17" t="s">
        <v>3</v>
      </c>
      <c r="E4" s="18" t="s">
        <v>120</v>
      </c>
      <c r="F4" s="146"/>
      <c r="G4" s="146"/>
    </row>
    <row r="5" spans="2:7">
      <c r="B5" s="4" t="s">
        <v>123</v>
      </c>
      <c r="D5" t="s">
        <v>124</v>
      </c>
      <c r="E5" s="5">
        <v>30</v>
      </c>
      <c r="F5" s="146"/>
      <c r="G5" s="146"/>
    </row>
    <row r="6" spans="2:7">
      <c r="B6" s="4" t="s">
        <v>128</v>
      </c>
      <c r="E6" s="5"/>
      <c r="F6" s="146"/>
      <c r="G6" s="146"/>
    </row>
    <row r="7" spans="2:7">
      <c r="B7" s="4"/>
      <c r="C7" t="s">
        <v>130</v>
      </c>
      <c r="D7" t="s">
        <v>124</v>
      </c>
      <c r="E7" s="5">
        <v>30</v>
      </c>
      <c r="F7" s="146"/>
      <c r="G7" s="146"/>
    </row>
    <row r="8" spans="2:7">
      <c r="B8" s="4"/>
      <c r="C8" t="s">
        <v>90</v>
      </c>
      <c r="D8" t="s">
        <v>124</v>
      </c>
      <c r="E8" s="5">
        <v>15</v>
      </c>
      <c r="F8" s="146"/>
      <c r="G8" s="146"/>
    </row>
    <row r="9" spans="2:7">
      <c r="B9" s="4"/>
      <c r="C9" t="s">
        <v>173</v>
      </c>
      <c r="D9" t="s">
        <v>124</v>
      </c>
      <c r="E9" s="170">
        <f>E13</f>
        <v>5</v>
      </c>
      <c r="F9" s="146"/>
      <c r="G9" s="146"/>
    </row>
    <row r="10" spans="2:7">
      <c r="B10" s="4" t="s">
        <v>132</v>
      </c>
      <c r="E10" s="5"/>
      <c r="F10" s="146"/>
      <c r="G10" s="146"/>
    </row>
    <row r="11" spans="2:7">
      <c r="B11" s="4"/>
      <c r="C11" t="s">
        <v>130</v>
      </c>
      <c r="D11" t="s">
        <v>124</v>
      </c>
      <c r="E11" s="5">
        <v>30</v>
      </c>
      <c r="F11" s="146"/>
      <c r="G11" s="146"/>
    </row>
    <row r="12" spans="2:7">
      <c r="B12" s="4"/>
      <c r="C12" s="142" t="s">
        <v>90</v>
      </c>
      <c r="D12" s="142" t="s">
        <v>124</v>
      </c>
      <c r="E12" s="5">
        <v>15</v>
      </c>
      <c r="F12" s="146"/>
      <c r="G12" s="146"/>
    </row>
    <row r="13" spans="2:7" ht="15.75" thickBot="1">
      <c r="B13" s="6"/>
      <c r="C13" s="7" t="s">
        <v>173</v>
      </c>
      <c r="D13" s="7" t="s">
        <v>124</v>
      </c>
      <c r="E13" s="420">
        <v>5</v>
      </c>
      <c r="F13" s="146"/>
      <c r="G13" s="146"/>
    </row>
    <row r="14" spans="2:7" ht="15.75" thickBot="1">
      <c r="B14" s="142"/>
      <c r="C14" s="142"/>
      <c r="D14" s="142"/>
      <c r="E14" s="142"/>
      <c r="F14" s="146"/>
      <c r="G14" s="146"/>
    </row>
    <row r="15" spans="2:7" ht="15.75" thickBot="1">
      <c r="B15" s="133" t="s">
        <v>190</v>
      </c>
      <c r="C15" s="116"/>
      <c r="D15" s="147"/>
      <c r="E15" s="421">
        <v>0.2</v>
      </c>
      <c r="F15" s="86"/>
      <c r="G15" s="86"/>
    </row>
    <row r="16" spans="2:7" ht="15.75" thickBot="1">
      <c r="B16" s="142"/>
      <c r="C16" s="142"/>
      <c r="D16" s="146"/>
      <c r="E16" s="86"/>
      <c r="F16"/>
    </row>
    <row r="17" spans="2:7" ht="15.75" thickBot="1">
      <c r="B17" s="133" t="s">
        <v>200</v>
      </c>
      <c r="C17" s="116"/>
      <c r="D17" s="147"/>
      <c r="E17" s="246"/>
      <c r="F17"/>
    </row>
    <row r="18" spans="2:7">
      <c r="B18" s="4" t="s">
        <v>130</v>
      </c>
      <c r="C18" s="142"/>
      <c r="D18" s="146" t="s">
        <v>76</v>
      </c>
      <c r="E18" s="422">
        <v>0</v>
      </c>
      <c r="F18"/>
    </row>
    <row r="19" spans="2:7">
      <c r="B19" s="150" t="s">
        <v>129</v>
      </c>
      <c r="C19" s="142"/>
      <c r="D19" s="146" t="s">
        <v>76</v>
      </c>
      <c r="E19" s="422">
        <v>0.4</v>
      </c>
      <c r="F19"/>
    </row>
    <row r="20" spans="2:7" ht="15.75" thickBot="1">
      <c r="B20" s="247" t="s">
        <v>173</v>
      </c>
      <c r="C20" s="7"/>
      <c r="D20" s="232" t="s">
        <v>76</v>
      </c>
      <c r="E20" s="423">
        <v>1</v>
      </c>
      <c r="F20"/>
    </row>
    <row r="21" spans="2:7">
      <c r="B21" s="142"/>
      <c r="C21" s="142"/>
      <c r="D21" s="146"/>
      <c r="E21" s="86"/>
      <c r="F21"/>
    </row>
    <row r="22" spans="2:7">
      <c r="B22" s="142"/>
      <c r="C22" s="142"/>
      <c r="D22" s="146"/>
      <c r="E22" s="86"/>
      <c r="F22"/>
    </row>
    <row r="23" spans="2:7" ht="15.75" thickBot="1">
      <c r="B23" s="142"/>
      <c r="C23" s="142"/>
      <c r="D23" s="146"/>
      <c r="G23" s="149"/>
    </row>
    <row r="24" spans="2:7" ht="15.75" thickBot="1">
      <c r="B24" s="133" t="s">
        <v>189</v>
      </c>
      <c r="C24" s="116"/>
      <c r="D24" s="147"/>
      <c r="E24" s="428">
        <v>0.35</v>
      </c>
      <c r="F24" s="192"/>
      <c r="G24" s="192"/>
    </row>
    <row r="25" spans="2:7">
      <c r="B25" s="142"/>
      <c r="C25" s="142"/>
      <c r="D25" s="146"/>
      <c r="G25" s="149"/>
    </row>
    <row r="26" spans="2:7" ht="15.75" thickBot="1">
      <c r="G26" s="149"/>
    </row>
    <row r="27" spans="2:7">
      <c r="B27" s="435" t="s">
        <v>191</v>
      </c>
      <c r="C27" s="436"/>
      <c r="D27" s="436"/>
      <c r="E27" s="437"/>
      <c r="F27" s="191"/>
      <c r="G27" s="191"/>
    </row>
    <row r="28" spans="2:7">
      <c r="B28" s="16" t="s">
        <v>119</v>
      </c>
      <c r="C28" s="17"/>
      <c r="D28" s="17" t="s">
        <v>3</v>
      </c>
      <c r="E28" s="18" t="s">
        <v>120</v>
      </c>
      <c r="F28" s="146"/>
      <c r="G28" s="146"/>
    </row>
    <row r="29" spans="2:7">
      <c r="B29" s="4" t="s">
        <v>186</v>
      </c>
      <c r="D29" t="s">
        <v>76</v>
      </c>
      <c r="E29" s="425">
        <v>2.9033E-2</v>
      </c>
      <c r="F29" s="193"/>
      <c r="G29" s="193"/>
    </row>
    <row r="30" spans="2:7">
      <c r="B30" s="4" t="s">
        <v>135</v>
      </c>
      <c r="D30" t="s">
        <v>76</v>
      </c>
      <c r="E30" s="424" t="s">
        <v>271</v>
      </c>
      <c r="F30" s="146"/>
      <c r="G30" s="146"/>
    </row>
    <row r="31" spans="2:7" ht="15.75" thickBot="1">
      <c r="B31" s="185"/>
      <c r="C31" s="187" t="s">
        <v>187</v>
      </c>
      <c r="D31" s="187"/>
      <c r="E31" s="189"/>
      <c r="F31" s="146"/>
      <c r="G31" s="146"/>
    </row>
    <row r="32" spans="2:7" ht="15.75" thickTop="1">
      <c r="B32" s="4"/>
      <c r="C32" s="183" t="s">
        <v>265</v>
      </c>
      <c r="D32" t="s">
        <v>76</v>
      </c>
      <c r="E32" s="425">
        <v>2.24E-2</v>
      </c>
      <c r="F32" s="193"/>
      <c r="G32" s="193"/>
    </row>
    <row r="33" spans="2:7">
      <c r="B33" s="4"/>
      <c r="C33" s="183"/>
      <c r="E33" s="19"/>
      <c r="F33" s="193"/>
      <c r="G33" s="193"/>
    </row>
    <row r="34" spans="2:7" ht="15.75" thickBot="1">
      <c r="B34" s="185"/>
      <c r="C34" s="186" t="s">
        <v>188</v>
      </c>
      <c r="D34" s="187"/>
      <c r="E34" s="188"/>
      <c r="F34" s="193"/>
      <c r="G34" s="193"/>
    </row>
    <row r="35" spans="2:7" ht="15.75" thickTop="1">
      <c r="B35" s="4"/>
      <c r="C35" s="182" t="s">
        <v>11</v>
      </c>
      <c r="D35" t="s">
        <v>76</v>
      </c>
      <c r="E35" s="425">
        <v>1.2E-2</v>
      </c>
      <c r="F35" s="193"/>
      <c r="G35" s="193"/>
    </row>
    <row r="36" spans="2:7">
      <c r="B36" s="4"/>
      <c r="C36" s="182" t="s">
        <v>15</v>
      </c>
      <c r="D36" t="s">
        <v>76</v>
      </c>
      <c r="E36" s="425">
        <v>1.2E-2</v>
      </c>
      <c r="F36" s="193"/>
      <c r="G36" s="193"/>
    </row>
    <row r="37" spans="2:7">
      <c r="B37" s="4"/>
      <c r="C37" s="182" t="s">
        <v>20</v>
      </c>
      <c r="D37" t="s">
        <v>76</v>
      </c>
      <c r="E37" s="425">
        <v>1.2E-2</v>
      </c>
      <c r="F37" s="193"/>
      <c r="G37" s="193"/>
    </row>
    <row r="38" spans="2:7">
      <c r="B38" s="4"/>
      <c r="C38" s="182" t="s">
        <v>23</v>
      </c>
      <c r="D38" t="s">
        <v>76</v>
      </c>
      <c r="E38" s="425">
        <v>5.0000000000000001E-3</v>
      </c>
      <c r="F38" s="193"/>
      <c r="G38" s="193"/>
    </row>
    <row r="39" spans="2:7">
      <c r="B39" s="4"/>
      <c r="C39" s="182" t="s">
        <v>26</v>
      </c>
      <c r="D39" t="s">
        <v>76</v>
      </c>
      <c r="E39" s="425">
        <v>1.4999999999999999E-2</v>
      </c>
      <c r="F39" s="193"/>
      <c r="G39" s="193"/>
    </row>
    <row r="40" spans="2:7">
      <c r="B40" s="4"/>
      <c r="C40" s="182" t="s">
        <v>137</v>
      </c>
      <c r="D40" t="s">
        <v>76</v>
      </c>
      <c r="E40" s="425">
        <v>0.02</v>
      </c>
      <c r="F40" s="193"/>
      <c r="G40" s="193"/>
    </row>
    <row r="41" spans="2:7" ht="15.75" thickBot="1">
      <c r="B41" s="6"/>
      <c r="C41" s="184" t="s">
        <v>138</v>
      </c>
      <c r="D41" s="7" t="s">
        <v>76</v>
      </c>
      <c r="E41" s="426">
        <v>5.0000000000000001E-3</v>
      </c>
      <c r="F41" s="193"/>
      <c r="G41" s="193"/>
    </row>
    <row r="42" spans="2:7" ht="15.75" thickBot="1">
      <c r="G42" s="149"/>
    </row>
    <row r="43" spans="2:7">
      <c r="B43" s="435" t="s">
        <v>72</v>
      </c>
      <c r="C43" s="436"/>
      <c r="D43" s="436"/>
      <c r="E43" s="437"/>
      <c r="F43" s="191"/>
      <c r="G43" s="191"/>
    </row>
    <row r="44" spans="2:7">
      <c r="B44" s="16" t="s">
        <v>119</v>
      </c>
      <c r="C44" s="181"/>
      <c r="D44" s="181" t="s">
        <v>3</v>
      </c>
      <c r="E44" s="18" t="s">
        <v>120</v>
      </c>
      <c r="F44" s="146"/>
      <c r="G44" s="146"/>
    </row>
    <row r="45" spans="2:7">
      <c r="B45" s="4" t="s">
        <v>142</v>
      </c>
      <c r="C45" s="142"/>
      <c r="D45" s="142" t="s">
        <v>143</v>
      </c>
      <c r="E45" s="427">
        <v>1.8</v>
      </c>
      <c r="F45" s="25"/>
      <c r="G45" s="25"/>
    </row>
    <row r="46" spans="2:7">
      <c r="B46" s="4" t="s">
        <v>144</v>
      </c>
      <c r="C46" s="142"/>
      <c r="D46" s="142" t="s">
        <v>145</v>
      </c>
      <c r="E46" s="429">
        <v>30</v>
      </c>
      <c r="F46" s="190"/>
      <c r="G46" s="190"/>
    </row>
    <row r="47" spans="2:7">
      <c r="B47" s="4" t="s">
        <v>146</v>
      </c>
      <c r="C47" s="142"/>
      <c r="D47" s="142" t="s">
        <v>147</v>
      </c>
      <c r="E47" s="427">
        <f>E45*E46/100</f>
        <v>0.54</v>
      </c>
      <c r="F47" s="25"/>
      <c r="G47" s="25"/>
    </row>
    <row r="48" spans="2:7">
      <c r="B48" s="142"/>
      <c r="C48" s="142"/>
      <c r="D48" s="142"/>
      <c r="E48" s="139"/>
      <c r="F48" s="136"/>
      <c r="G48" s="136"/>
    </row>
    <row r="49" spans="2:7">
      <c r="B49" s="142"/>
      <c r="C49" s="142"/>
      <c r="D49" s="142"/>
      <c r="E49" s="139"/>
      <c r="F49" s="136"/>
      <c r="G49" s="136"/>
    </row>
    <row r="50" spans="2:7">
      <c r="B50" s="142"/>
      <c r="C50" s="142"/>
      <c r="D50" s="142"/>
      <c r="E50" s="139"/>
      <c r="F50" s="136"/>
      <c r="G50" s="136"/>
    </row>
    <row r="51" spans="2:7">
      <c r="B51" s="142"/>
      <c r="C51" s="142"/>
      <c r="D51" s="142"/>
      <c r="E51" s="139"/>
      <c r="F51" s="136"/>
      <c r="G51" s="136"/>
    </row>
    <row r="52" spans="2:7">
      <c r="B52" s="142"/>
      <c r="C52" s="142"/>
      <c r="D52" s="142"/>
      <c r="E52" s="139"/>
      <c r="F52" s="136"/>
      <c r="G52" s="136"/>
    </row>
    <row r="53" spans="2:7">
      <c r="B53" s="142"/>
      <c r="C53" s="142"/>
      <c r="D53" s="142"/>
      <c r="E53" s="139"/>
      <c r="F53" s="136"/>
      <c r="G53" s="136"/>
    </row>
  </sheetData>
  <sheetProtection algorithmName="SHA-512" hashValue="te0z+S7prPP0cbUjEIcR2oQBZcgpZaxymmRbmn/qO4B4k9t+7FgstDe5rGAk9HV4RWG1oo6/ptWIl1U/2g0SFw==" saltValue="g5isuB2vSSv8BNmgOqtWRw==" spinCount="100000" sheet="1" objects="1" scenarios="1"/>
  <mergeCells count="3">
    <mergeCell ref="B3:E3"/>
    <mergeCell ref="B27:E27"/>
    <mergeCell ref="B43:E43"/>
  </mergeCells>
  <dataValidations count="4">
    <dataValidation type="list" allowBlank="1" showInputMessage="1" showErrorMessage="1" sqref="E9:G9 E13:G13" xr:uid="{C062A060-4D57-41E3-ABDC-B0DD6777925C}">
      <formula1>"-,5,10"</formula1>
    </dataValidation>
    <dataValidation type="list" allowBlank="1" showInputMessage="1" showErrorMessage="1" sqref="E30" xr:uid="{E99681C9-B692-474F-8D82-ABF4E5F499F7}">
      <formula1>"Allgemein,Spezifisch"</formula1>
    </dataValidation>
    <dataValidation type="list" allowBlank="1" showInputMessage="1" showErrorMessage="1" sqref="F15:G15" xr:uid="{FA20CB78-055D-4227-82DE-44CCC4F04746}">
      <mc:AlternateContent xmlns:x12ac="http://schemas.microsoft.com/office/spreadsheetml/2011/1/ac" xmlns:mc="http://schemas.openxmlformats.org/markup-compatibility/2006">
        <mc:Choice Requires="x12ac">
          <x12ac:list>"0,2","0,25"</x12ac:list>
        </mc:Choice>
        <mc:Fallback>
          <formula1>"0,2,0,25"</formula1>
        </mc:Fallback>
      </mc:AlternateContent>
    </dataValidation>
    <dataValidation type="list" allowBlank="1" showInputMessage="1" showErrorMessage="1" sqref="E15" xr:uid="{4B5723CF-53E9-4A38-B287-499B11628742}">
      <formula1>"20%,25%,30%,35%"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8CAC7-5AFE-48A8-B81A-9B02F5CE0473}">
  <dimension ref="A1:J30"/>
  <sheetViews>
    <sheetView showGridLines="0" showOutlineSymbols="0" showWhiteSpace="0" topLeftCell="B1" zoomScaleNormal="100" zoomScaleSheetLayoutView="115" workbookViewId="0">
      <selection activeCell="H30" sqref="H30"/>
    </sheetView>
  </sheetViews>
  <sheetFormatPr baseColWidth="10" defaultColWidth="11.42578125" defaultRowHeight="15"/>
  <cols>
    <col min="1" max="1" width="16.28515625" customWidth="1"/>
    <col min="2" max="2" width="22.7109375" customWidth="1"/>
    <col min="4" max="4" width="13.5703125" bestFit="1" customWidth="1"/>
    <col min="5" max="5" width="21.85546875" customWidth="1"/>
    <col min="6" max="6" width="21.42578125" customWidth="1"/>
    <col min="7" max="7" width="21.5703125" customWidth="1"/>
  </cols>
  <sheetData>
    <row r="1" spans="1:10" ht="15.75" thickBot="1"/>
    <row r="2" spans="1:10" ht="15.75" thickBot="1">
      <c r="A2" s="133" t="s">
        <v>118</v>
      </c>
      <c r="B2" s="116"/>
      <c r="C2" s="116"/>
      <c r="D2" s="116"/>
      <c r="E2" s="116"/>
      <c r="F2" s="116"/>
      <c r="G2" s="134"/>
    </row>
    <row r="3" spans="1:10" ht="30.75" thickBot="1">
      <c r="A3" s="82" t="s">
        <v>121</v>
      </c>
      <c r="B3" s="82"/>
      <c r="C3" s="82" t="s">
        <v>3</v>
      </c>
      <c r="D3" s="197" t="s">
        <v>197</v>
      </c>
      <c r="E3" s="135" t="s">
        <v>122</v>
      </c>
      <c r="F3" s="83" t="s">
        <v>192</v>
      </c>
      <c r="G3" s="83" t="s">
        <v>193</v>
      </c>
    </row>
    <row r="4" spans="1:10">
      <c r="A4" s="144" t="s">
        <v>125</v>
      </c>
      <c r="B4" s="37" t="s">
        <v>126</v>
      </c>
      <c r="C4" s="37" t="s">
        <v>127</v>
      </c>
      <c r="D4" s="199">
        <f>IF(AND(Input!$C$10="Ja",Input!$C$7="Ausbaugrad"),Input!$C$14,IF(AND(Input!$C$10="Ja",Input!$C$7="KSA-Menge"),Input!$D$14,1))</f>
        <v>1</v>
      </c>
      <c r="E4" s="137">
        <f>Input!G43*D4</f>
        <v>0</v>
      </c>
      <c r="F4" s="125">
        <f>E4*(1-Randbedingungen!$E$24)</f>
        <v>0</v>
      </c>
      <c r="G4" s="126">
        <f>E4*(1+Randbedingungen!E24)</f>
        <v>0</v>
      </c>
      <c r="J4" s="198"/>
    </row>
    <row r="5" spans="1:10">
      <c r="A5" s="39"/>
      <c r="B5" s="142" t="s">
        <v>129</v>
      </c>
      <c r="C5" s="142" t="s">
        <v>127</v>
      </c>
      <c r="D5" s="167">
        <f>IF(AND(Input!$C$10="Ja",Input!$C$7="Ausbaugrad"),Input!$C$14,IF(AND(Input!$C$10="Ja",Input!$C$7="KSA-Menge"),Input!$D$14,1))</f>
        <v>1</v>
      </c>
      <c r="E5" s="143">
        <f>Input!G55*D5</f>
        <v>275000</v>
      </c>
      <c r="F5" s="143">
        <f>E5*(1-Randbedingungen!$E$24)</f>
        <v>178750</v>
      </c>
      <c r="G5" s="15">
        <f>E5*(1+Randbedingungen!E24)</f>
        <v>371250</v>
      </c>
    </row>
    <row r="6" spans="1:10">
      <c r="A6" s="39"/>
      <c r="B6" s="142" t="s">
        <v>173</v>
      </c>
      <c r="C6" s="146" t="s">
        <v>127</v>
      </c>
      <c r="D6" s="167">
        <f>IF(AND(Input!$C$10="Ja",Input!$C$7="Ausbaugrad"),Input!$C$14,IF(AND(Input!$C$10="Ja",Input!$C$7="KSA-Menge"),Input!$D$14,1))</f>
        <v>1</v>
      </c>
      <c r="E6" s="143">
        <f>IF(Input!E93="Ja",E5*Randbedingungen!E15*D6,Input!E94)</f>
        <v>55000</v>
      </c>
      <c r="F6" s="143">
        <f>E6*(1-Randbedingungen!$E$24)</f>
        <v>35750</v>
      </c>
      <c r="G6" s="15">
        <f>E6*(1+Randbedingungen!E24)</f>
        <v>74250</v>
      </c>
    </row>
    <row r="7" spans="1:10" ht="15.75" thickBot="1">
      <c r="A7" s="145"/>
      <c r="B7" s="45" t="s">
        <v>131</v>
      </c>
      <c r="C7" s="45"/>
      <c r="D7" s="45"/>
      <c r="E7" s="127">
        <f>SUM(E4:E6)</f>
        <v>330000</v>
      </c>
      <c r="F7" s="127">
        <f>SUM(F4:F6)</f>
        <v>214500</v>
      </c>
      <c r="G7" s="127">
        <f>SUM(G4:G6)</f>
        <v>445500</v>
      </c>
    </row>
    <row r="8" spans="1:10" ht="15.75" thickBot="1">
      <c r="A8" s="85"/>
    </row>
    <row r="9" spans="1:10">
      <c r="A9" s="441" t="s">
        <v>1</v>
      </c>
      <c r="B9" s="37" t="s">
        <v>11</v>
      </c>
      <c r="C9" s="37" t="s">
        <v>133</v>
      </c>
      <c r="D9" s="199">
        <f>IF(AND(Input!$C$10="Ja",Input!$C$7="Ausbaugrad"),Input!$C$15,IF(AND(Input!$C$10="Ja",Input!$C$7="KSA-Menge"),Input!$D$15,1))</f>
        <v>1</v>
      </c>
      <c r="E9" s="120">
        <f>Input!G99*D9</f>
        <v>4800</v>
      </c>
      <c r="F9" s="120">
        <f>E9*(1-Randbedingungen!$E$24)</f>
        <v>3120</v>
      </c>
      <c r="G9" s="121">
        <f>E9*(1+Randbedingungen!E24)</f>
        <v>6480</v>
      </c>
    </row>
    <row r="10" spans="1:10">
      <c r="A10" s="442"/>
      <c r="B10" t="s">
        <v>15</v>
      </c>
      <c r="C10" t="s">
        <v>133</v>
      </c>
      <c r="D10" s="200">
        <f>IF(AND(Input!$C$10="Ja",Input!$C$7="Ausbaugrad"),Input!$C$15,IF(AND(Input!$C$10="Ja",Input!$C$7="KSA-Menge"),Input!$D$15,1))</f>
        <v>1</v>
      </c>
      <c r="E10" s="24">
        <f>Input!G100*D10</f>
        <v>1200</v>
      </c>
      <c r="F10" s="24">
        <f>E10*(1-Randbedingungen!$E$24)</f>
        <v>780</v>
      </c>
      <c r="G10" s="41">
        <f>E10*(1+Randbedingungen!E24)</f>
        <v>1620</v>
      </c>
    </row>
    <row r="11" spans="1:10">
      <c r="A11" s="442"/>
      <c r="B11" t="s">
        <v>20</v>
      </c>
      <c r="C11" t="s">
        <v>133</v>
      </c>
      <c r="D11" s="200">
        <f>IF(AND(Input!$C$10="Ja",Input!$C$7="Ausbaugrad"),Input!$C$15,IF(AND(Input!$C$10="Ja",Input!$C$7="KSA-Menge"),Input!$D$15,1))</f>
        <v>1</v>
      </c>
      <c r="E11" s="24">
        <f>Input!G101*D11</f>
        <v>21349.999999999996</v>
      </c>
      <c r="F11" s="24">
        <f>E11*(1-Randbedingungen!$E$24)</f>
        <v>13877.499999999998</v>
      </c>
      <c r="G11" s="41">
        <f>E11*(1+Randbedingungen!E24)</f>
        <v>28822.499999999996</v>
      </c>
    </row>
    <row r="12" spans="1:10" ht="15.75" thickBot="1">
      <c r="A12" s="442"/>
      <c r="B12" s="22" t="s">
        <v>23</v>
      </c>
      <c r="C12" s="22" t="s">
        <v>133</v>
      </c>
      <c r="D12" s="201">
        <f>IF(AND(Input!$C$10="Ja",Input!$C$7="Ausbaugrad"),Input!$C$15,IF(AND(Input!$C$10="Ja",Input!$C$7="KSA-Menge"),Input!$D$15,1))</f>
        <v>1</v>
      </c>
      <c r="E12" s="26">
        <f>Input!G102*D12</f>
        <v>36800</v>
      </c>
      <c r="F12" s="26">
        <f>E12*(1-Randbedingungen!$E$24)</f>
        <v>23920</v>
      </c>
      <c r="G12" s="43">
        <f>E12*(1+Randbedingungen!E24)</f>
        <v>49680</v>
      </c>
    </row>
    <row r="13" spans="1:10" ht="16.5" thickTop="1" thickBot="1">
      <c r="A13" s="443"/>
      <c r="B13" s="122" t="s">
        <v>131</v>
      </c>
      <c r="C13" s="122"/>
      <c r="D13" s="202"/>
      <c r="E13" s="123">
        <f>SUM(E9:E12)</f>
        <v>64150</v>
      </c>
      <c r="F13" s="123">
        <f>SUM(F9:F12)</f>
        <v>41697.5</v>
      </c>
      <c r="G13" s="124">
        <f>SUM(G9:G12)</f>
        <v>86602.5</v>
      </c>
    </row>
    <row r="14" spans="1:10" ht="15.75" thickBot="1">
      <c r="A14" s="85"/>
      <c r="D14" s="200"/>
      <c r="E14" s="24"/>
      <c r="F14" s="24"/>
      <c r="G14" s="24"/>
    </row>
    <row r="15" spans="1:10" ht="15.75" thickBot="1">
      <c r="A15" s="441" t="s">
        <v>26</v>
      </c>
      <c r="B15" s="128" t="s">
        <v>134</v>
      </c>
      <c r="C15" s="128" t="s">
        <v>133</v>
      </c>
      <c r="D15" s="203">
        <f>IF(AND(Input!$C$10="Ja",Input!$C$7="Ausbaugrad"),Input!$C$15,IF(AND(Input!$C$10="Ja",Input!$C$7="KSA-Menge"),Input!$D$15,1))</f>
        <v>1</v>
      </c>
      <c r="E15" s="129">
        <f>SUM(Tabelle1[GP '[€']])*D15</f>
        <v>25200</v>
      </c>
      <c r="F15" s="129">
        <f>E15*(1-Randbedingungen!$E$24)</f>
        <v>16380</v>
      </c>
      <c r="G15" s="130">
        <f>E15*(1+Randbedingungen!E24)</f>
        <v>34020</v>
      </c>
    </row>
    <row r="16" spans="1:10" ht="16.5" thickTop="1" thickBot="1">
      <c r="A16" s="443"/>
      <c r="B16" s="122" t="s">
        <v>131</v>
      </c>
      <c r="C16" s="122"/>
      <c r="D16" s="202"/>
      <c r="E16" s="123">
        <f>SUM(E15)</f>
        <v>25200</v>
      </c>
      <c r="F16" s="123">
        <f>SUM(F15)</f>
        <v>16380</v>
      </c>
      <c r="G16" s="124">
        <f>SUM(G15)</f>
        <v>34020</v>
      </c>
    </row>
    <row r="17" spans="1:7" ht="15.75" thickBot="1">
      <c r="A17" s="85"/>
      <c r="D17" s="200"/>
      <c r="E17" s="24"/>
      <c r="F17" s="24"/>
      <c r="G17" s="24"/>
    </row>
    <row r="18" spans="1:7">
      <c r="A18" s="444" t="s">
        <v>69</v>
      </c>
      <c r="B18" s="37" t="s">
        <v>136</v>
      </c>
      <c r="C18" s="37" t="s">
        <v>133</v>
      </c>
      <c r="D18" s="199">
        <f>IF(AND(Input!$C$10="Ja",Input!$C$7="Ausbaugrad"),Input!$C$15,IF(AND(Input!$C$10="Ja",Input!$C$7="KSA-Menge"),Input!$D$15,1))</f>
        <v>1</v>
      </c>
      <c r="E18" s="120">
        <f>Input!G121*D18</f>
        <v>54000</v>
      </c>
      <c r="F18" s="120">
        <f t="shared" ref="F18:F24" si="0">E18</f>
        <v>54000</v>
      </c>
      <c r="G18" s="121">
        <f t="shared" ref="G18:G24" si="1">E18</f>
        <v>54000</v>
      </c>
    </row>
    <row r="19" spans="1:7">
      <c r="A19" s="445"/>
      <c r="B19" t="s">
        <v>74</v>
      </c>
      <c r="C19" t="s">
        <v>133</v>
      </c>
      <c r="D19" s="200">
        <f>IF(AND(Input!$C$10="Ja",Input!$C$7="Ausbaugrad"),Input!$C$14,IF(AND(Input!$C$10="Ja",Input!$C$7="KSA-Menge"),Input!$D$14,1))</f>
        <v>1</v>
      </c>
      <c r="E19" s="24">
        <f>Input!G122*D19</f>
        <v>5500</v>
      </c>
      <c r="F19" s="24">
        <f t="shared" si="0"/>
        <v>5500</v>
      </c>
      <c r="G19" s="41">
        <f t="shared" si="1"/>
        <v>5500</v>
      </c>
    </row>
    <row r="20" spans="1:7" ht="15.75" thickBot="1">
      <c r="A20" s="445"/>
      <c r="B20" s="22" t="s">
        <v>78</v>
      </c>
      <c r="C20" s="22" t="s">
        <v>133</v>
      </c>
      <c r="D20" s="201">
        <f>IF(AND(Input!$C$10="Ja",Input!$C$7="Ausbaugrad"),Input!$C$14,IF(AND(Input!$C$10="Ja",Input!$C$7="KSA-Menge"),Input!$D$14,1))</f>
        <v>1</v>
      </c>
      <c r="E20" s="26">
        <f>Input!G123*D20</f>
        <v>2750</v>
      </c>
      <c r="F20" s="26">
        <f t="shared" si="0"/>
        <v>2750</v>
      </c>
      <c r="G20" s="43">
        <f t="shared" si="1"/>
        <v>2750</v>
      </c>
    </row>
    <row r="21" spans="1:7" ht="16.5" thickTop="1" thickBot="1">
      <c r="A21" s="446"/>
      <c r="B21" s="97" t="s">
        <v>131</v>
      </c>
      <c r="C21" s="97"/>
      <c r="D21" s="204"/>
      <c r="E21" s="131">
        <f>SUM(E18:E20)</f>
        <v>62250</v>
      </c>
      <c r="F21" s="131">
        <f>SUM(F18:F20)</f>
        <v>62250</v>
      </c>
      <c r="G21" s="132">
        <f>SUM(G18:G20)</f>
        <v>62250</v>
      </c>
    </row>
    <row r="22" spans="1:7" ht="15.75" thickBot="1">
      <c r="A22" s="85"/>
      <c r="D22" s="200"/>
      <c r="E22" s="24"/>
      <c r="F22" s="24"/>
      <c r="G22" s="24"/>
    </row>
    <row r="23" spans="1:7">
      <c r="A23" s="447" t="s">
        <v>139</v>
      </c>
      <c r="B23" s="37" t="s">
        <v>140</v>
      </c>
      <c r="C23" s="37" t="s">
        <v>133</v>
      </c>
      <c r="D23" s="199">
        <f>IF(AND(Input!$C$10="Ja",Input!$C$7="Ausbaugrad"),Input!$C$15,IF(AND(Input!$C$10="Ja",Input!$C$7="KSA-Menge"),Input!$D$15,1))</f>
        <v>1</v>
      </c>
      <c r="E23" s="120">
        <f>SUM(Input!G127:G127)*D23</f>
        <v>156000</v>
      </c>
      <c r="F23" s="120">
        <f t="shared" si="0"/>
        <v>156000</v>
      </c>
      <c r="G23" s="121">
        <f t="shared" si="1"/>
        <v>156000</v>
      </c>
    </row>
    <row r="24" spans="1:7" ht="15.75" thickBot="1">
      <c r="A24" s="448"/>
      <c r="B24" s="22" t="s">
        <v>141</v>
      </c>
      <c r="C24" s="22" t="s">
        <v>133</v>
      </c>
      <c r="D24" s="201">
        <f>IF(AND(Input!$C$10="Ja",Input!$C$7="Ausbaugrad"),Input!$C$15,IF(AND(Input!$C$10="Ja",Input!$C$7="KSA-Menge"),Input!$D$15,1))</f>
        <v>1</v>
      </c>
      <c r="E24" s="26">
        <f>SUM(Input!G128:G130)*D24</f>
        <v>18000</v>
      </c>
      <c r="F24" s="26">
        <f t="shared" si="0"/>
        <v>18000</v>
      </c>
      <c r="G24" s="43">
        <f t="shared" si="1"/>
        <v>18000</v>
      </c>
    </row>
    <row r="25" spans="1:7" ht="16.5" thickTop="1" thickBot="1">
      <c r="A25" s="449"/>
      <c r="B25" s="289" t="s">
        <v>131</v>
      </c>
      <c r="C25" s="289"/>
      <c r="D25" s="289"/>
      <c r="E25" s="290">
        <f>SUM(E23:E24)</f>
        <v>174000</v>
      </c>
      <c r="F25" s="290">
        <f>SUM(F23:F24)</f>
        <v>174000</v>
      </c>
      <c r="G25" s="291">
        <f>SUM(G23:G24)</f>
        <v>174000</v>
      </c>
    </row>
    <row r="26" spans="1:7">
      <c r="A26" s="84"/>
    </row>
    <row r="27" spans="1:7" ht="15.75" thickBot="1">
      <c r="A27" s="84"/>
      <c r="B27" s="142"/>
    </row>
    <row r="28" spans="1:7">
      <c r="A28" s="438" t="s">
        <v>128</v>
      </c>
      <c r="B28" s="37" t="s">
        <v>126</v>
      </c>
      <c r="C28" s="37" t="s">
        <v>133</v>
      </c>
      <c r="D28" s="37"/>
      <c r="E28" s="125">
        <f>E4/Randbedingungen!E7</f>
        <v>0</v>
      </c>
      <c r="F28" s="125">
        <f>F4/Randbedingungen!E7</f>
        <v>0</v>
      </c>
      <c r="G28" s="126">
        <f>G4/Randbedingungen!E7</f>
        <v>0</v>
      </c>
    </row>
    <row r="29" spans="1:7">
      <c r="A29" s="439"/>
      <c r="B29" s="142" t="s">
        <v>129</v>
      </c>
      <c r="C29" s="142" t="s">
        <v>133</v>
      </c>
      <c r="D29" s="142"/>
      <c r="E29" s="143">
        <f>E5/Randbedingungen!E8</f>
        <v>18333.333333333332</v>
      </c>
      <c r="F29" s="143">
        <f>F5/Randbedingungen!E8</f>
        <v>11916.666666666666</v>
      </c>
      <c r="G29" s="15">
        <f>G5/Randbedingungen!E8</f>
        <v>24750</v>
      </c>
    </row>
    <row r="30" spans="1:7" ht="15.75" thickBot="1">
      <c r="A30" s="440"/>
      <c r="B30" s="7" t="s">
        <v>173</v>
      </c>
      <c r="C30" s="7" t="s">
        <v>133</v>
      </c>
      <c r="D30" s="7"/>
      <c r="E30" s="195">
        <f>E6/Randbedingungen!E9</f>
        <v>11000</v>
      </c>
      <c r="F30" s="195">
        <f>F6/Randbedingungen!E9</f>
        <v>7150</v>
      </c>
      <c r="G30" s="196">
        <f>G6/Randbedingungen!E9</f>
        <v>14850</v>
      </c>
    </row>
  </sheetData>
  <sheetProtection algorithmName="SHA-512" hashValue="i1SyEALEK+gfSc98BFxmkgx1W/71fslXtC46FrtgsTSxp2ZAksTpSSVXg1b9cbECKCdnbEy2wHjpeUsIH5Ea+A==" saltValue="Nuaq1CrA8ZVtX42Xib62VA==" spinCount="100000" sheet="1" objects="1" scenarios="1"/>
  <mergeCells count="5">
    <mergeCell ref="A28:A30"/>
    <mergeCell ref="A9:A13"/>
    <mergeCell ref="A15:A16"/>
    <mergeCell ref="A18:A21"/>
    <mergeCell ref="A23:A25"/>
  </mergeCells>
  <conditionalFormatting sqref="E4">
    <cfRule type="containsText" dxfId="18" priority="2" operator="containsText" text="Ungültig, nur eine Saklierung wählen">
      <formula>NOT(ISERROR(SEARCH("Ungültig, nur eine Saklierung wählen",E4)))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72D81-03FD-40B4-87D4-8967CEA77F11}">
  <dimension ref="A1:U64"/>
  <sheetViews>
    <sheetView showGridLines="0" showRuler="0" showOutlineSymbols="0" topLeftCell="A17" zoomScaleNormal="100" workbookViewId="0">
      <selection activeCell="J32" sqref="J32"/>
    </sheetView>
  </sheetViews>
  <sheetFormatPr baseColWidth="10" defaultColWidth="11.42578125" defaultRowHeight="15"/>
  <cols>
    <col min="1" max="1" width="11.42578125" customWidth="1"/>
    <col min="2" max="2" width="17.7109375" customWidth="1"/>
    <col min="4" max="4" width="15.7109375" customWidth="1"/>
    <col min="5" max="5" width="21" customWidth="1"/>
    <col min="6" max="6" width="9.140625" customWidth="1"/>
    <col min="9" max="9" width="16" customWidth="1"/>
    <col min="10" max="10" width="13.5703125" customWidth="1"/>
    <col min="12" max="12" width="21" customWidth="1"/>
    <col min="14" max="14" width="11.42578125" customWidth="1"/>
    <col min="15" max="15" width="14.5703125" customWidth="1"/>
    <col min="18" max="18" width="16.5703125" customWidth="1"/>
    <col min="19" max="19" width="21" customWidth="1"/>
  </cols>
  <sheetData>
    <row r="1" spans="1:21" ht="15.75" thickBot="1">
      <c r="A1" s="227"/>
      <c r="B1" s="227"/>
      <c r="C1" s="227"/>
    </row>
    <row r="2" spans="1:21" ht="15.75" thickBot="1">
      <c r="A2" s="235" t="s">
        <v>208</v>
      </c>
      <c r="B2" s="236"/>
      <c r="C2" s="236"/>
      <c r="D2" s="237"/>
      <c r="E2" s="237"/>
      <c r="F2" s="237"/>
      <c r="G2" s="237"/>
      <c r="H2" s="270" t="s">
        <v>232</v>
      </c>
      <c r="I2" s="271"/>
      <c r="J2" s="271"/>
      <c r="K2" s="271"/>
      <c r="L2" s="271"/>
      <c r="M2" s="271"/>
      <c r="N2" s="271"/>
      <c r="O2" s="272" t="s">
        <v>233</v>
      </c>
      <c r="P2" s="273"/>
      <c r="Q2" s="273"/>
      <c r="R2" s="273"/>
      <c r="S2" s="273"/>
      <c r="T2" s="273"/>
      <c r="U2" s="273"/>
    </row>
    <row r="3" spans="1:21" ht="15.75" thickBot="1"/>
    <row r="4" spans="1:21" ht="15.75" thickBot="1">
      <c r="C4" s="226"/>
      <c r="D4" s="259"/>
      <c r="E4" s="239" t="s">
        <v>212</v>
      </c>
      <c r="F4" s="239" t="s">
        <v>201</v>
      </c>
      <c r="G4" s="226"/>
      <c r="H4" s="238" t="s">
        <v>203</v>
      </c>
      <c r="I4" s="239"/>
      <c r="K4" s="259"/>
      <c r="L4" s="239" t="s">
        <v>212</v>
      </c>
      <c r="M4" s="239" t="s">
        <v>201</v>
      </c>
      <c r="O4" s="238" t="s">
        <v>203</v>
      </c>
      <c r="P4" s="239"/>
      <c r="R4" s="259"/>
      <c r="S4" s="239" t="s">
        <v>212</v>
      </c>
      <c r="T4" s="239" t="s">
        <v>201</v>
      </c>
    </row>
    <row r="5" spans="1:21" ht="15.75" thickBot="1">
      <c r="A5" s="240" t="s">
        <v>206</v>
      </c>
      <c r="B5" s="241"/>
      <c r="D5" s="218" t="s">
        <v>125</v>
      </c>
      <c r="E5" s="219">
        <f>'Wirtschaftlichkeit (Neutral)'!C53</f>
        <v>-679670</v>
      </c>
      <c r="F5" s="219">
        <f>'Wirtschaftlichkeit (Neutral)'!D53</f>
        <v>-34244.223772110403</v>
      </c>
      <c r="H5" s="240" t="s">
        <v>206</v>
      </c>
      <c r="I5" s="241"/>
      <c r="K5" s="218" t="s">
        <v>125</v>
      </c>
      <c r="L5" s="219">
        <f>'Wirtschaftlichkeit (Positiv)'!C52</f>
        <v>-441785</v>
      </c>
      <c r="M5" s="219">
        <f>'Wirtschaftlichkeit (Positiv)'!D52</f>
        <v>-22258.720260070026</v>
      </c>
      <c r="O5" s="240" t="s">
        <v>206</v>
      </c>
      <c r="P5" s="241"/>
      <c r="R5" s="218" t="s">
        <v>125</v>
      </c>
      <c r="S5" s="219">
        <f>'Wirtschaftlichkeit (Negativ)'!C53</f>
        <v>-917554</v>
      </c>
      <c r="T5" s="219">
        <f>'Wirtschaftlichkeit (Negativ)'!D53</f>
        <v>-46229.676900547303</v>
      </c>
    </row>
    <row r="6" spans="1:21" ht="15.75" thickBot="1">
      <c r="A6" s="4" t="s">
        <v>207</v>
      </c>
      <c r="B6" s="103">
        <f>Zusammenfassung!$E$7/Input!$E$127</f>
        <v>2.75</v>
      </c>
      <c r="D6" s="220" t="s">
        <v>1</v>
      </c>
      <c r="E6" s="221">
        <f>'Wirtschaftlichkeit (Neutral)'!C54</f>
        <v>-1421609</v>
      </c>
      <c r="F6" s="221">
        <f>'Wirtschaftlichkeit (Neutral)'!D54</f>
        <v>-71625.784148845909</v>
      </c>
      <c r="H6" s="4" t="s">
        <v>207</v>
      </c>
      <c r="I6" s="103">
        <f>Zusammenfassung!$F$7/Input!$E$127</f>
        <v>1.7875000000000001</v>
      </c>
      <c r="K6" s="220" t="s">
        <v>1</v>
      </c>
      <c r="L6" s="219">
        <f>'Wirtschaftlichkeit (Positiv)'!C53</f>
        <v>-1421609</v>
      </c>
      <c r="M6" s="219">
        <f>'Wirtschaftlichkeit (Positiv)'!D53</f>
        <v>-71625.784148845909</v>
      </c>
      <c r="O6" s="4" t="s">
        <v>207</v>
      </c>
      <c r="P6" s="103">
        <f>Zusammenfassung!$G$7/Input!$E$127</f>
        <v>3.7124999999999999</v>
      </c>
      <c r="R6" s="220" t="s">
        <v>1</v>
      </c>
      <c r="S6" s="219">
        <f>'Wirtschaftlichkeit (Negativ)'!C54</f>
        <v>-1421609</v>
      </c>
      <c r="T6" s="219">
        <f>'Wirtschaftlichkeit (Negativ)'!D54</f>
        <v>-71625.784148845909</v>
      </c>
    </row>
    <row r="7" spans="1:21" ht="15.75" thickBot="1">
      <c r="A7" s="6" t="s">
        <v>204</v>
      </c>
      <c r="B7" s="234">
        <f>IF(Input!$C$7="KSA-Menge",Zusammenfassung!$E$7/Input!$F$5,Zusammenfassung!$E$7/Input!$D$4)</f>
        <v>1.32</v>
      </c>
      <c r="C7" s="30"/>
      <c r="D7" s="220" t="s">
        <v>26</v>
      </c>
      <c r="E7" s="221">
        <f>'Wirtschaftlichkeit (Neutral)'!C55</f>
        <v>-615395</v>
      </c>
      <c r="F7" s="221">
        <f>'Wirtschaftlichkeit (Neutral)'!D55</f>
        <v>-31005.817658919594</v>
      </c>
      <c r="H7" s="6" t="s">
        <v>204</v>
      </c>
      <c r="I7" s="234">
        <f>IF(Input!$C$7="KSA-Menge",Zusammenfassung!$F$7/Input!$F$5,Zusammenfassung!$F$7/Input!$D$4)</f>
        <v>0.85799999999999998</v>
      </c>
      <c r="K7" s="220" t="s">
        <v>26</v>
      </c>
      <c r="L7" s="219">
        <f>'Wirtschaftlichkeit (Positiv)'!C54</f>
        <v>-615395</v>
      </c>
      <c r="M7" s="219">
        <f>'Wirtschaftlichkeit (Positiv)'!D54</f>
        <v>-31005.817658919594</v>
      </c>
      <c r="O7" s="6" t="s">
        <v>204</v>
      </c>
      <c r="P7" s="234">
        <f>IF(Input!$C$7="KSA-Menge",Zusammenfassung!$G$7/Input!$F$5,Zusammenfassung!$G$7/Input!$D$4)</f>
        <v>1.782</v>
      </c>
      <c r="R7" s="220" t="s">
        <v>26</v>
      </c>
      <c r="S7" s="219">
        <f>'Wirtschaftlichkeit (Negativ)'!C55</f>
        <v>-615395</v>
      </c>
      <c r="T7" s="219">
        <f>'Wirtschaftlichkeit (Negativ)'!D55</f>
        <v>-31005.817658919594</v>
      </c>
    </row>
    <row r="8" spans="1:21" ht="15.75" thickBot="1">
      <c r="B8" s="138"/>
      <c r="D8" s="220" t="s">
        <v>69</v>
      </c>
      <c r="E8" s="221">
        <f>'Wirtschaftlichkeit (Neutral)'!C56</f>
        <v>-1343278</v>
      </c>
      <c r="F8" s="221">
        <f>'Wirtschaftlichkeit (Neutral)'!D56</f>
        <v>-67679.186105246539</v>
      </c>
      <c r="I8" s="138"/>
      <c r="K8" s="220" t="s">
        <v>69</v>
      </c>
      <c r="L8" s="219">
        <f>'Wirtschaftlichkeit (Positiv)'!C55</f>
        <v>-1343278</v>
      </c>
      <c r="M8" s="219">
        <f>'Wirtschaftlichkeit (Positiv)'!D55</f>
        <v>-67679.186105246539</v>
      </c>
      <c r="P8" s="138"/>
      <c r="R8" s="220" t="s">
        <v>69</v>
      </c>
      <c r="S8" s="219">
        <f>'Wirtschaftlichkeit (Negativ)'!C56</f>
        <v>-1343278</v>
      </c>
      <c r="T8" s="219">
        <f>'Wirtschaftlichkeit (Negativ)'!D56</f>
        <v>-67679.186105246539</v>
      </c>
    </row>
    <row r="9" spans="1:21" ht="15.75" thickBot="1">
      <c r="A9" s="242" t="s">
        <v>268</v>
      </c>
      <c r="B9" s="243"/>
      <c r="C9" s="30"/>
      <c r="D9" s="222" t="s">
        <v>139</v>
      </c>
      <c r="E9" s="223">
        <f>'Wirtschaftlichkeit (Neutral)'!C57</f>
        <v>4566494</v>
      </c>
      <c r="F9" s="223">
        <f>'Wirtschaftlichkeit (Neutral)'!D57</f>
        <v>230076.42295525697</v>
      </c>
      <c r="H9" s="242" t="s">
        <v>268</v>
      </c>
      <c r="I9" s="243"/>
      <c r="K9" s="222" t="s">
        <v>139</v>
      </c>
      <c r="L9" s="219">
        <f>'Wirtschaftlichkeit (Positiv)'!C56</f>
        <v>4566494</v>
      </c>
      <c r="M9" s="219">
        <f>'Wirtschaftlichkeit (Positiv)'!D56</f>
        <v>230076.42295525697</v>
      </c>
      <c r="O9" s="242" t="s">
        <v>268</v>
      </c>
      <c r="P9" s="243"/>
      <c r="R9" s="222" t="s">
        <v>139</v>
      </c>
      <c r="S9" s="219">
        <f>'Wirtschaftlichkeit (Negativ)'!C57</f>
        <v>4566494</v>
      </c>
      <c r="T9" s="219">
        <f>'Wirtschaftlichkeit (Negativ)'!D57</f>
        <v>230076.42295525697</v>
      </c>
    </row>
    <row r="10" spans="1:21" ht="15.75" thickBot="1">
      <c r="A10" s="4" t="s">
        <v>207</v>
      </c>
      <c r="B10" s="103">
        <f>(Zusammenfassung!$E$13+Zusammenfassung!$E$16)/Input!$E$127</f>
        <v>0.74458333333333337</v>
      </c>
      <c r="C10" s="211"/>
      <c r="H10" s="4" t="s">
        <v>207</v>
      </c>
      <c r="I10" s="103">
        <f>(Zusammenfassung!$F$13+Zusammenfassung!$F$16)/Input!$E$127</f>
        <v>0.48397916666666668</v>
      </c>
      <c r="O10" s="4" t="s">
        <v>207</v>
      </c>
      <c r="P10" s="103">
        <f>(Zusammenfassung!$G$13+Zusammenfassung!$G$16)/Input!$E$127</f>
        <v>1.0051874999999999</v>
      </c>
    </row>
    <row r="11" spans="1:21" ht="15.75" thickBot="1">
      <c r="A11" s="6" t="s">
        <v>205</v>
      </c>
      <c r="B11" s="234">
        <f>IF(Input!$C$7="KSA-Menge",(Zusammenfassung!$E$13+Zusammenfassung!$E$16)/Input!$F$5,(Zusammenfassung!$E$13+Zusammenfassung!$E$16)/Input!$D$4)</f>
        <v>0.3574</v>
      </c>
      <c r="D11" s="224" t="s">
        <v>213</v>
      </c>
      <c r="E11" s="225">
        <f>'Wirtschaftlichkeit (Neutral)'!C43</f>
        <v>506542</v>
      </c>
      <c r="F11" s="225">
        <f>'Wirtschaftlichkeit (Neutral)'!C47</f>
        <v>25521</v>
      </c>
      <c r="H11" s="6" t="s">
        <v>205</v>
      </c>
      <c r="I11" s="234">
        <f>IF(Input!$C$7="KSA-Menge",(Zusammenfassung!$F$13+Zusammenfassung!$F$16)/Input!$F$5,(Zusammenfassung!$F$13+Zusammenfassung!$F$16)/Input!$D$4)</f>
        <v>0.23230999999999999</v>
      </c>
      <c r="K11" s="224" t="s">
        <v>213</v>
      </c>
      <c r="L11" s="225">
        <f>'Wirtschaftlichkeit (Positiv)'!C43</f>
        <v>744427</v>
      </c>
      <c r="M11" s="225">
        <f>'Wirtschaftlichkeit (Positiv)'!C47</f>
        <v>37507</v>
      </c>
      <c r="O11" s="6" t="s">
        <v>205</v>
      </c>
      <c r="P11" s="234">
        <f>IF(Input!$C$7="KSA-Menge",(Zusammenfassung!$G$13+Zusammenfassung!$G$16)/Input!$F$5,(Zusammenfassung!$G$13+Zusammenfassung!$G$16)/Input!$D$4)</f>
        <v>0.48248999999999997</v>
      </c>
      <c r="R11" s="224" t="s">
        <v>213</v>
      </c>
      <c r="S11" s="225">
        <f>'Wirtschaftlichkeit (Negativ)'!C44</f>
        <v>268658</v>
      </c>
      <c r="T11" s="225">
        <f>'Wirtschaftlichkeit (Negativ)'!C48</f>
        <v>13536</v>
      </c>
    </row>
    <row r="12" spans="1:21" ht="15.75" thickBot="1">
      <c r="B12" s="138"/>
      <c r="I12" s="138"/>
      <c r="P12" s="138"/>
    </row>
    <row r="13" spans="1:21" ht="15.75" thickBot="1">
      <c r="A13" s="244" t="s">
        <v>266</v>
      </c>
      <c r="B13" s="245"/>
      <c r="D13" s="255" t="s">
        <v>225</v>
      </c>
      <c r="E13" s="260">
        <f>Zusammenfassung!E13+Zusammenfassung!E16+Zusammenfassung!E21+Zusammenfassung!E28+Zusammenfassung!E29+Zusammenfassung!E30</f>
        <v>180933.33333333334</v>
      </c>
      <c r="H13" s="244" t="s">
        <v>266</v>
      </c>
      <c r="I13" s="245"/>
      <c r="K13" s="255" t="s">
        <v>225</v>
      </c>
      <c r="L13" s="260">
        <f>Zusammenfassung!F13+Zusammenfassung!F16+Zusammenfassung!F21+Zusammenfassung!F28+Zusammenfassung!F29+Zusammenfassung!F30</f>
        <v>139394.16666666666</v>
      </c>
      <c r="O13" s="244" t="s">
        <v>266</v>
      </c>
      <c r="P13" s="245"/>
      <c r="R13" s="255" t="s">
        <v>225</v>
      </c>
      <c r="S13" s="260">
        <f>Zusammenfassung!G13+Zusammenfassung!G16+Zusammenfassung!G21+Zusammenfassung!G28+Zusammenfassung!G29+Zusammenfassung!G30</f>
        <v>222472.5</v>
      </c>
    </row>
    <row r="14" spans="1:21" ht="15.75" thickBot="1">
      <c r="A14" s="6" t="s">
        <v>207</v>
      </c>
      <c r="B14" s="234">
        <f>(Zusammenfassung!E7+(SUM('Wirtschaftlichkeit (Neutral)'!E18:AH18)+SUM('Wirtschaftlichkeit (Neutral)'!E22:AH22))/((1+'Wirtschaftlichkeit (Neutral)'!C37)*(1+'Wirtschaftlichkeit (Neutral)'!C14))^30)/(SUM(Input!E127:E127)/((1+'Wirtschaftlichkeit (Neutral)'!C37)*(1+'Wirtschaftlichkeit (Neutral)'!C14))^30)</f>
        <v>35.501802457577647</v>
      </c>
      <c r="H14" s="6" t="s">
        <v>207</v>
      </c>
      <c r="I14" s="234">
        <f>(Zusammenfassung!F7+(SUM('Wirtschaftlichkeit (Positiv)'!E18:AH18)+SUM('Wirtschaftlichkeit (Positiv)'!E22:AH22))/((1+'Wirtschaftlichkeit (Positiv)'!C37)*(1+'Wirtschaftlichkeit (Positiv)'!C14))^30)/(SUM(Input!E127:E127)/((1+'Wirtschaftlichkeit (Positiv)'!C37)*(1+'Wirtschaftlichkeit (Positiv)'!C14))^30)</f>
        <v>32.253210357868646</v>
      </c>
      <c r="O14" s="6" t="s">
        <v>207</v>
      </c>
      <c r="P14" s="234">
        <f>(Zusammenfassung!G7+(SUM('Wirtschaftlichkeit (Positiv)'!E18:AH18)+SUM('Wirtschaftlichkeit (Positiv)'!E22:AH22))/((1+'Wirtschaftlichkeit (Positiv)'!C37)*(1+'Wirtschaftlichkeit (Positiv)'!C14))^30)/(SUM(Input!E127:E127)/((1+'Wirtschaftlichkeit (Positiv)'!C37)*(1+'Wirtschaftlichkeit (Positiv)'!C14))^30)</f>
        <v>38.750394557286647</v>
      </c>
    </row>
    <row r="15" spans="1:21" ht="32.25" customHeight="1" thickBot="1">
      <c r="A15" s="142"/>
      <c r="B15" s="138"/>
      <c r="D15" s="313" t="s">
        <v>216</v>
      </c>
      <c r="E15" s="312">
        <f>IF(COUNTIF('Wirtschaftlichkeit (Neutral)'!E41:AH41,0)&gt;29,"Keine Amortisationszeit in 30",COUNTIF('Wirtschaftlichkeit (Neutral)'!E41:AH41,0)+1)</f>
        <v>17</v>
      </c>
      <c r="F15" s="314" t="s">
        <v>217</v>
      </c>
      <c r="H15" s="142"/>
      <c r="I15" s="138"/>
      <c r="K15" s="313" t="s">
        <v>216</v>
      </c>
      <c r="L15" s="312">
        <f>IF(COUNTIF('Wirtschaftlichkeit (Positiv)'!E41:AH41,0)&gt;29,"Keine Amortisationszeit in 30",COUNTIF('Wirtschaftlichkeit (Positiv)'!E41:AH41,0)+1)</f>
        <v>9</v>
      </c>
      <c r="M15" s="314" t="s">
        <v>217</v>
      </c>
      <c r="O15" s="142"/>
      <c r="P15" s="138"/>
      <c r="R15" s="313" t="s">
        <v>216</v>
      </c>
      <c r="S15" s="312">
        <f>IF(COUNTIF('Wirtschaftlichkeit (Negativ)'!E41:AH41,0)&gt;29,"Keine Amortisationszeit in 30",COUNTIF('Wirtschaftlichkeit (Negativ)'!E41:AH41,0)+1)</f>
        <v>24</v>
      </c>
      <c r="T15" s="314" t="s">
        <v>217</v>
      </c>
    </row>
    <row r="16" spans="1:21">
      <c r="A16" s="146"/>
      <c r="B16" s="25"/>
    </row>
    <row r="17" spans="1:16" ht="15.75" thickBot="1">
      <c r="B17" s="138"/>
    </row>
    <row r="18" spans="1:16" ht="15.75" thickBot="1">
      <c r="A18" s="238" t="s">
        <v>267</v>
      </c>
      <c r="B18" s="239"/>
      <c r="H18" s="238" t="s">
        <v>267</v>
      </c>
      <c r="I18" s="239"/>
      <c r="O18" s="238" t="s">
        <v>267</v>
      </c>
      <c r="P18" s="239"/>
    </row>
    <row r="19" spans="1:16">
      <c r="A19" s="319" t="s">
        <v>11</v>
      </c>
      <c r="B19" s="320">
        <f>Zusammenfassung!E9/Input!$E$127</f>
        <v>0.04</v>
      </c>
      <c r="H19" s="319" t="s">
        <v>11</v>
      </c>
      <c r="I19" s="320">
        <f>Zusammenfassung!F9/Input!$E$127</f>
        <v>2.5999999999999999E-2</v>
      </c>
      <c r="O19" s="319" t="s">
        <v>11</v>
      </c>
      <c r="P19" s="320">
        <f>Zusammenfassung!G9/Input!$E$127</f>
        <v>5.3999999999999999E-2</v>
      </c>
    </row>
    <row r="20" spans="1:16">
      <c r="A20" s="321" t="s">
        <v>15</v>
      </c>
      <c r="B20" s="322">
        <f>Zusammenfassung!E10/Input!$E$127</f>
        <v>0.01</v>
      </c>
      <c r="H20" s="321" t="s">
        <v>15</v>
      </c>
      <c r="I20" s="322">
        <f>Zusammenfassung!F10/Input!$E$127</f>
        <v>6.4999999999999997E-3</v>
      </c>
      <c r="O20" s="321" t="s">
        <v>15</v>
      </c>
      <c r="P20" s="322">
        <f>Zusammenfassung!G10/Input!$E$127</f>
        <v>1.35E-2</v>
      </c>
    </row>
    <row r="21" spans="1:16">
      <c r="A21" s="321" t="s">
        <v>20</v>
      </c>
      <c r="B21" s="322">
        <f>Zusammenfassung!E11/Input!$E$127</f>
        <v>0.17791666666666664</v>
      </c>
      <c r="H21" s="321" t="s">
        <v>20</v>
      </c>
      <c r="I21" s="322">
        <f>Zusammenfassung!F11/Input!$E$127</f>
        <v>0.11564583333333332</v>
      </c>
      <c r="O21" s="321" t="s">
        <v>20</v>
      </c>
      <c r="P21" s="322">
        <f>Zusammenfassung!G11/Input!$E$127</f>
        <v>0.24018749999999997</v>
      </c>
    </row>
    <row r="22" spans="1:16">
      <c r="A22" s="321" t="s">
        <v>23</v>
      </c>
      <c r="B22" s="322">
        <f>Zusammenfassung!E12/Input!$E$127</f>
        <v>0.30666666666666664</v>
      </c>
      <c r="H22" s="321" t="s">
        <v>23</v>
      </c>
      <c r="I22" s="322">
        <f>Zusammenfassung!F12/Input!$E$127</f>
        <v>0.19933333333333333</v>
      </c>
      <c r="O22" s="321" t="s">
        <v>23</v>
      </c>
      <c r="P22" s="322">
        <f>Zusammenfassung!G12/Input!$E$127</f>
        <v>0.41399999999999998</v>
      </c>
    </row>
    <row r="23" spans="1:16">
      <c r="A23" s="323" t="s">
        <v>26</v>
      </c>
      <c r="B23" s="324">
        <f>Zusammenfassung!E15/Input!E127</f>
        <v>0.21</v>
      </c>
      <c r="H23" s="323" t="s">
        <v>26</v>
      </c>
      <c r="I23" s="324">
        <f>Zusammenfassung!F15/Input!$E$127</f>
        <v>0.13650000000000001</v>
      </c>
      <c r="O23" s="323" t="s">
        <v>26</v>
      </c>
      <c r="P23" s="324">
        <f>Zusammenfassung!G15/Input!$E$127</f>
        <v>0.28349999999999997</v>
      </c>
    </row>
    <row r="31" spans="1:16">
      <c r="B31" s="138"/>
    </row>
    <row r="32" spans="1:16">
      <c r="B32" s="138"/>
    </row>
    <row r="33" spans="2:2">
      <c r="B33" s="138"/>
    </row>
    <row r="46" spans="2:2">
      <c r="B46" s="142"/>
    </row>
    <row r="47" spans="2:2">
      <c r="B47" s="142"/>
    </row>
    <row r="48" spans="2:2">
      <c r="B48" s="142"/>
    </row>
    <row r="49" spans="2:2">
      <c r="B49" s="142"/>
    </row>
    <row r="50" spans="2:2">
      <c r="B50" s="142"/>
    </row>
    <row r="51" spans="2:2">
      <c r="B51" s="142"/>
    </row>
    <row r="52" spans="2:2">
      <c r="B52" s="142"/>
    </row>
    <row r="53" spans="2:2">
      <c r="B53" s="142"/>
    </row>
    <row r="54" spans="2:2">
      <c r="B54" s="142"/>
    </row>
    <row r="55" spans="2:2">
      <c r="B55" s="142"/>
    </row>
    <row r="56" spans="2:2">
      <c r="B56" s="142"/>
    </row>
    <row r="57" spans="2:2">
      <c r="B57" s="142"/>
    </row>
    <row r="58" spans="2:2">
      <c r="B58" s="142"/>
    </row>
    <row r="59" spans="2:2">
      <c r="B59" s="142"/>
    </row>
    <row r="60" spans="2:2">
      <c r="B60" s="142"/>
    </row>
    <row r="61" spans="2:2">
      <c r="B61" s="142"/>
    </row>
    <row r="62" spans="2:2">
      <c r="B62" s="142"/>
    </row>
    <row r="63" spans="2:2">
      <c r="B63" s="142"/>
    </row>
    <row r="64" spans="2:2">
      <c r="B64" s="142"/>
    </row>
  </sheetData>
  <sheetProtection algorithmName="SHA-512" hashValue="wXbKItVXD12rQMkAINDJTcL8Fx6EQ5LRYNLmPQXOZplS4A/8r7d79nABE6YvXLyHd37Oa967vRZBrbJWL/hS4A==" saltValue="/54dEjqsGwTR0N1fVnXvBA==" spinCount="100000" sheet="1" objects="1" scenarios="1"/>
  <pageMargins left="0.25" right="0.25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F6D4C-F837-4ADA-9F06-6888A13E7292}">
  <dimension ref="B1:AT63"/>
  <sheetViews>
    <sheetView showGridLines="0" showWhiteSpace="0" zoomScale="85" zoomScaleNormal="85" zoomScaleSheetLayoutView="100" workbookViewId="0">
      <selection activeCell="K7" sqref="K7"/>
    </sheetView>
  </sheetViews>
  <sheetFormatPr baseColWidth="10" defaultRowHeight="15" outlineLevelCol="1"/>
  <cols>
    <col min="2" max="2" width="20.42578125" customWidth="1"/>
    <col min="3" max="3" width="19.7109375" customWidth="1"/>
    <col min="4" max="4" width="20.7109375" customWidth="1"/>
    <col min="5" max="5" width="21" customWidth="1"/>
    <col min="6" max="6" width="17.42578125" customWidth="1"/>
    <col min="7" max="7" width="10.140625" customWidth="1"/>
    <col min="8" max="8" width="22.42578125" customWidth="1"/>
    <col min="9" max="9" width="16.42578125" customWidth="1"/>
    <col min="10" max="10" width="11.42578125" customWidth="1"/>
    <col min="11" max="40" width="11.42578125" customWidth="1" outlineLevel="1"/>
    <col min="41" max="41" width="11.42578125" customWidth="1"/>
  </cols>
  <sheetData>
    <row r="1" spans="2:46">
      <c r="H1" s="35" t="s">
        <v>154</v>
      </c>
      <c r="I1" s="35" t="s">
        <v>150</v>
      </c>
      <c r="J1" s="35">
        <v>0</v>
      </c>
      <c r="K1" s="35">
        <v>1</v>
      </c>
      <c r="L1" s="35">
        <v>2</v>
      </c>
      <c r="M1" s="35">
        <v>3</v>
      </c>
      <c r="N1" s="35">
        <v>4</v>
      </c>
      <c r="O1" s="35">
        <v>5</v>
      </c>
      <c r="P1" s="35">
        <v>6</v>
      </c>
      <c r="Q1" s="35">
        <v>7</v>
      </c>
      <c r="R1" s="35">
        <v>8</v>
      </c>
      <c r="S1" s="35">
        <v>9</v>
      </c>
      <c r="T1" s="35">
        <v>10</v>
      </c>
      <c r="U1" s="35">
        <v>11</v>
      </c>
      <c r="V1" s="35">
        <v>12</v>
      </c>
      <c r="W1" s="35">
        <v>13</v>
      </c>
      <c r="X1" s="35">
        <v>14</v>
      </c>
      <c r="Y1" s="35">
        <v>15</v>
      </c>
      <c r="Z1" s="35">
        <v>16</v>
      </c>
      <c r="AA1" s="35">
        <v>17</v>
      </c>
      <c r="AB1" s="35">
        <v>18</v>
      </c>
      <c r="AC1" s="35">
        <v>19</v>
      </c>
      <c r="AD1" s="35">
        <v>20</v>
      </c>
      <c r="AE1" s="35">
        <v>21</v>
      </c>
      <c r="AF1" s="35">
        <v>22</v>
      </c>
      <c r="AG1" s="35">
        <v>23</v>
      </c>
      <c r="AH1" s="35">
        <v>24</v>
      </c>
      <c r="AI1" s="35">
        <v>25</v>
      </c>
      <c r="AJ1" s="35">
        <v>26</v>
      </c>
      <c r="AK1" s="35">
        <v>27</v>
      </c>
      <c r="AL1" s="35">
        <v>28</v>
      </c>
      <c r="AM1" s="35">
        <v>29</v>
      </c>
      <c r="AN1" s="35">
        <v>30</v>
      </c>
      <c r="AO1" s="23"/>
      <c r="AP1" s="23"/>
      <c r="AQ1" s="23"/>
      <c r="AR1" s="23"/>
      <c r="AS1" s="23"/>
      <c r="AT1" s="23"/>
    </row>
    <row r="2" spans="2:46" ht="15.75" thickBot="1"/>
    <row r="3" spans="2:46" ht="15.75" thickBot="1">
      <c r="B3" s="224" t="s">
        <v>224</v>
      </c>
      <c r="C3" s="328" t="s">
        <v>218</v>
      </c>
      <c r="I3" s="69"/>
    </row>
    <row r="4" spans="2:46" ht="15.75" thickBot="1">
      <c r="H4" s="36" t="s">
        <v>126</v>
      </c>
      <c r="I4" s="231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8"/>
    </row>
    <row r="5" spans="2:46" ht="15.75" thickBot="1">
      <c r="B5" s="224" t="s">
        <v>135</v>
      </c>
      <c r="C5" s="328" t="s">
        <v>199</v>
      </c>
      <c r="H5" s="39" t="s">
        <v>155</v>
      </c>
      <c r="I5" s="67" cm="1">
        <f t="array" ref="I5">_xlfn.IFS($C$3="Neutral",Zusammenfassung!E4,$C$3="Best Case",Zusammenfassung!E4*0.65,$C$3="Worst Case",Zusammenfassung!E4*1.35)</f>
        <v>0</v>
      </c>
      <c r="J5" s="14">
        <f>I5*-1</f>
        <v>0</v>
      </c>
      <c r="K5" s="209">
        <f>IF(AND(MOD(K1,Randbedingungen!$E$11)=0,K1&lt;Randbedingungen!$E$5),$J$5*Randbedingungen!$E$18,0)</f>
        <v>0</v>
      </c>
      <c r="L5" s="209">
        <f>IF(AND(MOD(L1,Randbedingungen!$E$11)=0,L1&lt;Randbedingungen!$E$5),$J$5*Randbedingungen!$E$18,0)</f>
        <v>0</v>
      </c>
      <c r="M5" s="209">
        <f>IF(AND(MOD(M1,Randbedingungen!$E$11)=0,M1&lt;Randbedingungen!$E$5),$J$5*Randbedingungen!$E$18,0)</f>
        <v>0</v>
      </c>
      <c r="N5" s="209">
        <f>IF(AND(MOD(N1,Randbedingungen!$E$11)=0,N1&lt;Randbedingungen!$E$5),$J$5*Randbedingungen!$E$18,0)</f>
        <v>0</v>
      </c>
      <c r="O5" s="209">
        <f>IF(AND(MOD(O1,Randbedingungen!$E$11)=0,O1&lt;Randbedingungen!$E$5),$J$5*Randbedingungen!$E$18,0)</f>
        <v>0</v>
      </c>
      <c r="P5" s="209">
        <f>IF(AND(MOD(P1,Randbedingungen!$E$11)=0,P1&lt;Randbedingungen!$E$5),$J$5*Randbedingungen!$E$18,0)</f>
        <v>0</v>
      </c>
      <c r="Q5" s="209">
        <f>IF(AND(MOD(Q1,Randbedingungen!$E$11)=0,Q1&lt;Randbedingungen!$E$5),$J$5*Randbedingungen!$E$18,0)</f>
        <v>0</v>
      </c>
      <c r="R5" s="209">
        <f>IF(AND(MOD(R1,Randbedingungen!$E$11)=0,R1&lt;Randbedingungen!$E$5),$J$5*Randbedingungen!$E$18,0)</f>
        <v>0</v>
      </c>
      <c r="S5" s="209">
        <f>IF(AND(MOD(S1,Randbedingungen!$E$11)=0,S1&lt;Randbedingungen!$E$5),$J$5*Randbedingungen!$E$18,0)</f>
        <v>0</v>
      </c>
      <c r="T5" s="209">
        <f>IF(AND(MOD(T1,Randbedingungen!$E$11)=0,T1&lt;Randbedingungen!$E$5),$J$5*Randbedingungen!$E$18,0)</f>
        <v>0</v>
      </c>
      <c r="U5" s="209">
        <f>IF(AND(MOD(U1,Randbedingungen!$E$11)=0,U1&lt;Randbedingungen!$E$5),$J$5*Randbedingungen!$E$18,0)</f>
        <v>0</v>
      </c>
      <c r="V5" s="209">
        <f>IF(AND(MOD(V1,Randbedingungen!$E$11)=0,V1&lt;Randbedingungen!$E$5),$J$5*Randbedingungen!$E$18,0)</f>
        <v>0</v>
      </c>
      <c r="W5" s="209">
        <f>IF(AND(MOD(W1,Randbedingungen!$E$11)=0,W1&lt;Randbedingungen!$E$5),$J$5*Randbedingungen!$E$18,0)</f>
        <v>0</v>
      </c>
      <c r="X5" s="209">
        <f>IF(AND(MOD(X1,Randbedingungen!$E$11)=0,X1&lt;Randbedingungen!$E$5),$J$5*Randbedingungen!$E$18,0)</f>
        <v>0</v>
      </c>
      <c r="Y5" s="209">
        <f>IF(AND(MOD(Y1,Randbedingungen!$E$11)=0,Y1&lt;Randbedingungen!$E$5),$J$5*Randbedingungen!$E$18,0)</f>
        <v>0</v>
      </c>
      <c r="Z5" s="209">
        <f>IF(AND(MOD(Z1,Randbedingungen!$E$11)=0,Z1&lt;Randbedingungen!$E$5),$J$5*Randbedingungen!$E$18,0)</f>
        <v>0</v>
      </c>
      <c r="AA5" s="209">
        <f>IF(AND(MOD(AA1,Randbedingungen!$E$11)=0,AA1&lt;Randbedingungen!$E$5),$J$5*Randbedingungen!$E$18,0)</f>
        <v>0</v>
      </c>
      <c r="AB5" s="209">
        <f>IF(AND(MOD(AB1,Randbedingungen!$E$11)=0,AB1&lt;Randbedingungen!$E$5),$J$5*Randbedingungen!$E$18,0)</f>
        <v>0</v>
      </c>
      <c r="AC5" s="209">
        <f>IF(AND(MOD(AC1,Randbedingungen!$E$11)=0,AC1&lt;Randbedingungen!$E$5),$J$5*Randbedingungen!$E$18,0)</f>
        <v>0</v>
      </c>
      <c r="AD5" s="209">
        <f>IF(AND(MOD(AD1,Randbedingungen!$E$11)=0,AD1&lt;Randbedingungen!$E$5),$J$5*Randbedingungen!$E$18,0)</f>
        <v>0</v>
      </c>
      <c r="AE5" s="209">
        <f>IF(AND(MOD(AE1,Randbedingungen!$E$11)=0,AE1&lt;Randbedingungen!$E$5),$J$5*Randbedingungen!$E$18,0)</f>
        <v>0</v>
      </c>
      <c r="AF5" s="209">
        <f>IF(AND(MOD(AF1,Randbedingungen!$E$11)=0,AF1&lt;Randbedingungen!$E$5),$J$5*Randbedingungen!$E$18,0)</f>
        <v>0</v>
      </c>
      <c r="AG5" s="209">
        <f>IF(AND(MOD(AG1,Randbedingungen!$E$11)=0,AG1&lt;Randbedingungen!$E$5),$J$5*Randbedingungen!$E$18,0)</f>
        <v>0</v>
      </c>
      <c r="AH5" s="209">
        <f>IF(AND(MOD(AH1,Randbedingungen!$E$11)=0,AH1&lt;Randbedingungen!$E$5),$J$5*Randbedingungen!$E$18,0)</f>
        <v>0</v>
      </c>
      <c r="AI5" s="209">
        <f>IF(AND(MOD(AI1,Randbedingungen!$E$11)=0,AI1&lt;Randbedingungen!$E$5),$J$5*Randbedingungen!$E$18,0)</f>
        <v>0</v>
      </c>
      <c r="AJ5" s="209">
        <f>IF(AND(MOD(AJ1,Randbedingungen!$E$11)=0,AJ1&lt;Randbedingungen!$E$5),$J$5*Randbedingungen!$E$18,0)</f>
        <v>0</v>
      </c>
      <c r="AK5" s="209">
        <f>IF(AND(MOD(AK1,Randbedingungen!$E$11)=0,AK1&lt;Randbedingungen!$E$5),$J$5*Randbedingungen!$E$18,0)</f>
        <v>0</v>
      </c>
      <c r="AL5" s="209">
        <f>IF(AND(MOD(AL1,Randbedingungen!$E$11)=0,AL1&lt;Randbedingungen!$E$5),$J$5*Randbedingungen!$E$18,0)</f>
        <v>0</v>
      </c>
      <c r="AM5" s="209">
        <f>IF(AND(MOD(AM1,Randbedingungen!$E$11)=0,AM1&lt;Randbedingungen!$E$5),$J$5*Randbedingungen!$E$18,0)</f>
        <v>0</v>
      </c>
      <c r="AN5" s="209">
        <f>IF(AND(MOD(AN1,Randbedingungen!$E$11)=0,AN1&lt;Randbedingungen!$E$5),$J$5*Randbedingungen!$E$18,0)</f>
        <v>0</v>
      </c>
    </row>
    <row r="6" spans="2:46" ht="15.75" thickBot="1">
      <c r="H6" s="42" t="s">
        <v>156</v>
      </c>
      <c r="I6" s="68"/>
    </row>
    <row r="7" spans="2:46" ht="15.75" thickBot="1">
      <c r="B7" s="224" t="s">
        <v>186</v>
      </c>
      <c r="C7" s="430" t="s">
        <v>219</v>
      </c>
      <c r="H7" s="40" t="s">
        <v>155</v>
      </c>
      <c r="I7" s="67" cm="1">
        <f t="array" ref="I7">_xlfn.IFS($C$3="Neutral",Zusammenfassung!E5,$C$3="Best Case",Zusammenfassung!E5*0.65,$C$3="Worst Case",Zusammenfassung!E5*1.35)</f>
        <v>275000</v>
      </c>
      <c r="J7" s="14">
        <f>I7*-1</f>
        <v>-275000</v>
      </c>
      <c r="K7" s="209">
        <f>IF(AND(MOD(K1,Randbedingungen!$E$12)=0,K1&lt;Randbedingungen!$E$5),$J$7*Randbedingungen!$E$19,0)*(1+Randbedingungen!$E$32)^K1</f>
        <v>0</v>
      </c>
      <c r="L7" s="209">
        <f>IF(AND(MOD(L1,Randbedingungen!$E$12)=0,L1&lt;Randbedingungen!$E$5),$J$7*Randbedingungen!$E$19,0)*(1+Randbedingungen!$E$32)^L1</f>
        <v>0</v>
      </c>
      <c r="M7" s="209">
        <f>IF(AND(MOD(M1,Randbedingungen!$E$12)=0,M1&lt;Randbedingungen!$E$5),$J$7*Randbedingungen!$E$19,0)*(1+Randbedingungen!$E$32)^M1</f>
        <v>0</v>
      </c>
      <c r="N7" s="209">
        <f>IF(AND(MOD(N1,Randbedingungen!$E$12)=0,N1&lt;Randbedingungen!$E$5),$J$7*Randbedingungen!$E$19,0)*(1+Randbedingungen!$E$32)^N1</f>
        <v>0</v>
      </c>
      <c r="O7" s="209">
        <f>IF(AND(MOD(O1,Randbedingungen!$E$12)=0,O1&lt;Randbedingungen!$E$5),$J$7*Randbedingungen!$E$19,0)*(1+Randbedingungen!$E$32)^O1</f>
        <v>0</v>
      </c>
      <c r="P7" s="209">
        <f>IF(AND(MOD(P1,Randbedingungen!$E$12)=0,P1&lt;Randbedingungen!$E$5),$J$7*Randbedingungen!$E$19,0)*(1+Randbedingungen!$E$32)^P1</f>
        <v>0</v>
      </c>
      <c r="Q7" s="209">
        <f>IF(AND(MOD(Q1,Randbedingungen!$E$12)=0,Q1&lt;Randbedingungen!$E$5),$J$7*Randbedingungen!$E$19,0)*(1+Randbedingungen!$E$32)^Q1</f>
        <v>0</v>
      </c>
      <c r="R7" s="209">
        <f>IF(AND(MOD(R1,Randbedingungen!$E$12)=0,R1&lt;Randbedingungen!$E$5),$J$7*Randbedingungen!$E$19,0)*(1+Randbedingungen!$E$32)^R1</f>
        <v>0</v>
      </c>
      <c r="S7" s="209">
        <f>IF(AND(MOD(S1,Randbedingungen!$E$12)=0,S1&lt;Randbedingungen!$E$5),$J$7*Randbedingungen!$E$19,0)*(1+Randbedingungen!$E$32)^S1</f>
        <v>0</v>
      </c>
      <c r="T7" s="209">
        <f>IF(AND(MOD(T1,Randbedingungen!$E$12)=0,T1&lt;Randbedingungen!$E$5),$J$7*Randbedingungen!$E$19,0)*(1+Randbedingungen!$E$32)^T1</f>
        <v>0</v>
      </c>
      <c r="U7" s="209">
        <f>IF(AND(MOD(U1,Randbedingungen!$E$12)=0,U1&lt;Randbedingungen!$E$5),$J$7*Randbedingungen!$E$19,0)*(1+Randbedingungen!$E$32)^U1</f>
        <v>0</v>
      </c>
      <c r="V7" s="209">
        <f>IF(AND(MOD(V1,Randbedingungen!$E$12)=0,V1&lt;Randbedingungen!$E$5),$J$7*Randbedingungen!$E$19,0)*(1+Randbedingungen!$E$32)^V1</f>
        <v>0</v>
      </c>
      <c r="W7" s="209">
        <f>IF(AND(MOD(W1,Randbedingungen!$E$12)=0,W1&lt;Randbedingungen!$E$5),$J$7*Randbedingungen!$E$19,0)*(1+Randbedingungen!$E$32)^W1</f>
        <v>0</v>
      </c>
      <c r="X7" s="209">
        <f>IF(AND(MOD(X1,Randbedingungen!$E$12)=0,X1&lt;Randbedingungen!$E$5),$J$7*Randbedingungen!$E$19,0)*(1+Randbedingungen!$E$32)^X1</f>
        <v>0</v>
      </c>
      <c r="Y7" s="209">
        <f>IF(AND(MOD(Y1,Randbedingungen!$E$12)=0,Y1&lt;Randbedingungen!$E$5),$J$7*Randbedingungen!$E$19,0)*(1+Randbedingungen!$E$32)^Y1</f>
        <v>-153357.59789083441</v>
      </c>
      <c r="Z7" s="209">
        <f>IF(AND(MOD(Z1,Randbedingungen!$E$12)=0,Z1&lt;Randbedingungen!$E$5),$J$7*Randbedingungen!$E$19,0)*(1+Randbedingungen!$E$32)^Z1</f>
        <v>0</v>
      </c>
      <c r="AA7" s="209">
        <f>IF(AND(MOD(AA1,Randbedingungen!$E$12)=0,AA1&lt;Randbedingungen!$E$5),$J$7*Randbedingungen!$E$19,0)*(1+Randbedingungen!$E$32)^AA1</f>
        <v>0</v>
      </c>
      <c r="AB7" s="209">
        <f>IF(AND(MOD(AB1,Randbedingungen!$E$12)=0,AB1&lt;Randbedingungen!$E$5),$J$7*Randbedingungen!$E$19,0)*(1+Randbedingungen!$E$32)^AB1</f>
        <v>0</v>
      </c>
      <c r="AC7" s="209">
        <f>IF(AND(MOD(AC1,Randbedingungen!$E$12)=0,AC1&lt;Randbedingungen!$E$5),$J$7*Randbedingungen!$E$19,0)*(1+Randbedingungen!$E$32)^AC1</f>
        <v>0</v>
      </c>
      <c r="AD7" s="209">
        <f>IF(AND(MOD(AD1,Randbedingungen!$E$12)=0,AD1&lt;Randbedingungen!$E$5),$J$7*Randbedingungen!$E$19,0)*(1+Randbedingungen!$E$32)^AD1</f>
        <v>0</v>
      </c>
      <c r="AE7" s="209">
        <f>IF(AND(MOD(AE1,Randbedingungen!$E$12)=0,AE1&lt;Randbedingungen!$E$5),$J$7*Randbedingungen!$E$19,0)*(1+Randbedingungen!$E$32)^AE1</f>
        <v>0</v>
      </c>
      <c r="AF7" s="209">
        <f>IF(AND(MOD(AF1,Randbedingungen!$E$12)=0,AF1&lt;Randbedingungen!$E$5),$J$7*Randbedingungen!$E$19,0)*(1+Randbedingungen!$E$32)^AF1</f>
        <v>0</v>
      </c>
      <c r="AG7" s="209">
        <f>IF(AND(MOD(AG1,Randbedingungen!$E$12)=0,AG1&lt;Randbedingungen!$E$5),$J$7*Randbedingungen!$E$19,0)*(1+Randbedingungen!$E$32)^AG1</f>
        <v>0</v>
      </c>
      <c r="AH7" s="209">
        <f>IF(AND(MOD(AH1,Randbedingungen!$E$12)=0,AH1&lt;Randbedingungen!$E$5),$J$7*Randbedingungen!$E$19,0)*(1+Randbedingungen!$E$32)^AH1</f>
        <v>0</v>
      </c>
      <c r="AI7" s="209">
        <f>IF(AND(MOD(AI1,Randbedingungen!$E$12)=0,AI1&lt;Randbedingungen!$E$5),$J$7*Randbedingungen!$E$19,0)*(1+Randbedingungen!$E$32)^AI1</f>
        <v>0</v>
      </c>
      <c r="AJ7" s="209">
        <f>IF(AND(MOD(AJ1,Randbedingungen!$E$12)=0,AJ1&lt;Randbedingungen!$E$5),$J$7*Randbedingungen!$E$19,0)*(1+Randbedingungen!$E$32)^AJ1</f>
        <v>0</v>
      </c>
      <c r="AK7" s="209">
        <f>IF(AND(MOD(AK1,Randbedingungen!$E$12)=0,AK1&lt;Randbedingungen!$E$5),$J$7*Randbedingungen!$E$19,0)*(1+Randbedingungen!$E$32)^AK1</f>
        <v>0</v>
      </c>
      <c r="AL7" s="209">
        <f>IF(AND(MOD(AL1,Randbedingungen!$E$12)=0,AL1&lt;Randbedingungen!$E$5),$J$7*Randbedingungen!$E$19,0)*(1+Randbedingungen!$E$32)^AL1</f>
        <v>0</v>
      </c>
      <c r="AM7" s="209">
        <f>IF(AND(MOD(AM1,Randbedingungen!$E$12)=0,AM1&lt;Randbedingungen!$E$5),$J$7*Randbedingungen!$E$19,0)*(1+Randbedingungen!$E$32)^AM1</f>
        <v>0</v>
      </c>
      <c r="AN7" s="209">
        <f>IF(AND(MOD(AN1,Randbedingungen!$E$12)=0,AN1&lt;Randbedingungen!$E$5),$J$7*Randbedingungen!$E$19,0)*(1+Randbedingungen!$E$32)^AN1</f>
        <v>0</v>
      </c>
    </row>
    <row r="8" spans="2:46">
      <c r="H8" s="148" t="s">
        <v>173</v>
      </c>
      <c r="I8" s="67"/>
      <c r="J8" s="1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142"/>
      <c r="AP8" s="142"/>
      <c r="AQ8" s="142"/>
      <c r="AR8" s="142"/>
      <c r="AS8" s="142"/>
      <c r="AT8" s="142"/>
    </row>
    <row r="9" spans="2:46">
      <c r="H9" s="40" t="s">
        <v>155</v>
      </c>
      <c r="I9" s="67" cm="1">
        <f t="array" ref="I9">_xlfn.IFS($C$3="Neutral",Zusammenfassung!E6,$C$3="Best Case",Zusammenfassung!E6*0.65,$C$3="Worst Case",Zusammenfassung!E6*1.35)</f>
        <v>55000</v>
      </c>
      <c r="J9" s="14">
        <f>I9*-1</f>
        <v>-55000</v>
      </c>
      <c r="K9" s="209">
        <f>IF(AND(MOD(K1,Randbedingungen!$E$13)=0,K1&lt;Randbedingungen!$E$5),$J$9*Randbedingungen!$E$20,0)*(1+Randbedingungen!$E$32)^K1</f>
        <v>0</v>
      </c>
      <c r="L9" s="209">
        <f>IF(AND(MOD(L1,Randbedingungen!$E$13)=0,L1&lt;Randbedingungen!$E$5),$J$9*Randbedingungen!$E$20,0)*(1+Randbedingungen!$E$32)^L1</f>
        <v>0</v>
      </c>
      <c r="M9" s="209">
        <f>IF(AND(MOD(M1,Randbedingungen!$E$13)=0,M1&lt;Randbedingungen!$E$5),$J$9*Randbedingungen!$E$20,0)*(1+Randbedingungen!$E$32)^M1</f>
        <v>0</v>
      </c>
      <c r="N9" s="209">
        <f>IF(AND(MOD(N1,Randbedingungen!$E$13)=0,N1&lt;Randbedingungen!$E$5),$J$9*Randbedingungen!$E$20,0)*(1+Randbedingungen!$E$32)^N1</f>
        <v>0</v>
      </c>
      <c r="O9" s="209">
        <f>IF(AND(MOD(O1,Randbedingungen!$E$13)=0,O1&lt;Randbedingungen!$E$5),$J$9*Randbedingungen!$E$20,0)*(1+Randbedingungen!$E$32)^O1</f>
        <v>-61442.219228223963</v>
      </c>
      <c r="P9" s="209">
        <f>IF(AND(MOD(P1,Randbedingungen!$E$13)=0,P1&lt;Randbedingungen!$E$5),$J$9*Randbedingungen!$E$20,0)*(1+Randbedingungen!$E$32)^P1</f>
        <v>0</v>
      </c>
      <c r="Q9" s="209">
        <f>IF(AND(MOD(Q1,Randbedingungen!$E$13)=0,Q1&lt;Randbedingungen!$E$5),$J$9*Randbedingungen!$E$20,0)*(1+Randbedingungen!$E$32)^Q1</f>
        <v>0</v>
      </c>
      <c r="R9" s="209">
        <f>IF(AND(MOD(R1,Randbedingungen!$E$13)=0,R1&lt;Randbedingungen!$E$5),$J$9*Randbedingungen!$E$20,0)*(1+Randbedingungen!$E$32)^R1</f>
        <v>0</v>
      </c>
      <c r="S9" s="209">
        <f>IF(AND(MOD(S1,Randbedingungen!$E$13)=0,S1&lt;Randbedingungen!$E$5),$J$9*Randbedingungen!$E$20,0)*(1+Randbedingungen!$E$32)^S1</f>
        <v>0</v>
      </c>
      <c r="T9" s="209">
        <f>IF(AND(MOD(T1,Randbedingungen!$E$13)=0,T1&lt;Randbedingungen!$E$5),$J$9*Randbedingungen!$E$20,0)*(1+Randbedingungen!$E$32)^T1</f>
        <v>-68639.023703438783</v>
      </c>
      <c r="U9" s="209">
        <f>IF(AND(MOD(U1,Randbedingungen!$E$13)=0,U1&lt;Randbedingungen!$E$5),$J$9*Randbedingungen!$E$20,0)*(1+Randbedingungen!$E$32)^U1</f>
        <v>0</v>
      </c>
      <c r="V9" s="209">
        <f>IF(AND(MOD(V1,Randbedingungen!$E$13)=0,V1&lt;Randbedingungen!$E$5),$J$9*Randbedingungen!$E$20,0)*(1+Randbedingungen!$E$32)^V1</f>
        <v>0</v>
      </c>
      <c r="W9" s="209">
        <f>IF(AND(MOD(W1,Randbedingungen!$E$13)=0,W1&lt;Randbedingungen!$E$5),$J$9*Randbedingungen!$E$20,0)*(1+Randbedingungen!$E$32)^W1</f>
        <v>0</v>
      </c>
      <c r="X9" s="209">
        <f>IF(AND(MOD(X1,Randbedingungen!$E$13)=0,X1&lt;Randbedingungen!$E$5),$J$9*Randbedingungen!$E$20,0)*(1+Randbedingungen!$E$32)^X1</f>
        <v>0</v>
      </c>
      <c r="Y9" s="209">
        <f>IF(AND(MOD(Y1,Randbedingungen!$E$13)=0,Y1&lt;Randbedingungen!$E$5),$J$9*Randbedingungen!$E$20,0)*(1+Randbedingungen!$E$32)^Y1</f>
        <v>-76678.798945417206</v>
      </c>
      <c r="Z9" s="209">
        <f>IF(AND(MOD(Z1,Randbedingungen!$E$13)=0,Z1&lt;Randbedingungen!$E$5),$J$9*Randbedingungen!$E$20,0)*(1+Randbedingungen!$E$32)^Z1</f>
        <v>0</v>
      </c>
      <c r="AA9" s="209">
        <f>IF(AND(MOD(AA1,Randbedingungen!$E$13)=0,AA1&lt;Randbedingungen!$E$5),$J$9*Randbedingungen!$E$20,0)*(1+Randbedingungen!$E$32)^AA1</f>
        <v>0</v>
      </c>
      <c r="AB9" s="209">
        <f>IF(AND(MOD(AB1,Randbedingungen!$E$13)=0,AB1&lt;Randbedingungen!$E$5),$J$9*Randbedingungen!$E$20,0)*(1+Randbedingungen!$E$32)^AB1</f>
        <v>0</v>
      </c>
      <c r="AC9" s="209">
        <f>IF(AND(MOD(AC1,Randbedingungen!$E$13)=0,AC1&lt;Randbedingungen!$E$5),$J$9*Randbedingungen!$E$20,0)*(1+Randbedingungen!$E$32)^AC1</f>
        <v>0</v>
      </c>
      <c r="AD9" s="209">
        <f>IF(AND(MOD(AD1,Randbedingungen!$E$13)=0,AD1&lt;Randbedingungen!$E$5),$J$9*Randbedingungen!$E$20,0)*(1+Randbedingungen!$E$32)^AD1</f>
        <v>-85660.283181113293</v>
      </c>
      <c r="AE9" s="209">
        <f>IF(AND(MOD(AE1,Randbedingungen!$E$13)=0,AE1&lt;Randbedingungen!$E$5),$J$9*Randbedingungen!$E$20,0)*(1+Randbedingungen!$E$32)^AE1</f>
        <v>0</v>
      </c>
      <c r="AF9" s="209">
        <f>IF(AND(MOD(AF1,Randbedingungen!$E$13)=0,AF1&lt;Randbedingungen!$E$5),$J$9*Randbedingungen!$E$20,0)*(1+Randbedingungen!$E$32)^AF1</f>
        <v>0</v>
      </c>
      <c r="AG9" s="209">
        <f>IF(AND(MOD(AG1,Randbedingungen!$E$13)=0,AG1&lt;Randbedingungen!$E$5),$J$9*Randbedingungen!$E$20,0)*(1+Randbedingungen!$E$32)^AG1</f>
        <v>0</v>
      </c>
      <c r="AH9" s="209">
        <f>IF(AND(MOD(AH1,Randbedingungen!$E$13)=0,AH1&lt;Randbedingungen!$E$5),$J$9*Randbedingungen!$E$20,0)*(1+Randbedingungen!$E$32)^AH1</f>
        <v>0</v>
      </c>
      <c r="AI9" s="209">
        <f>IF(AND(MOD(AI1,Randbedingungen!$E$13)=0,AI1&lt;Randbedingungen!$E$5),$J$9*Randbedingungen!$E$20,0)*(1+Randbedingungen!$E$32)^AI1</f>
        <v>-95693.779970285585</v>
      </c>
      <c r="AJ9" s="209">
        <f>IF(AND(MOD(AJ1,Randbedingungen!$E$13)=0,AJ1&lt;Randbedingungen!$E$5),$J$9*Randbedingungen!$E$20,0)*(1+Randbedingungen!$E$32)^AJ1</f>
        <v>0</v>
      </c>
      <c r="AK9" s="209">
        <f>IF(AND(MOD(AK1,Randbedingungen!$E$13)=0,AK1&lt;Randbedingungen!$E$5),$J$9*Randbedingungen!$E$20,0)*(1+Randbedingungen!$E$32)^AK1</f>
        <v>0</v>
      </c>
      <c r="AL9" s="209">
        <f>IF(AND(MOD(AL1,Randbedingungen!$E$13)=0,AL1&lt;Randbedingungen!$E$5),$J$9*Randbedingungen!$E$20,0)*(1+Randbedingungen!$E$32)^AL1</f>
        <v>0</v>
      </c>
      <c r="AM9" s="209">
        <f>IF(AND(MOD(AM1,Randbedingungen!$E$13)=0,AM1&lt;Randbedingungen!$E$5),$J$9*Randbedingungen!$E$20,0)*(1+Randbedingungen!$E$32)^AM1</f>
        <v>0</v>
      </c>
      <c r="AN9" s="209">
        <f>IF(AND(MOD(AN1,Randbedingungen!$E$13)=0,AN1&lt;Randbedingungen!$E$5),$J$9*Randbedingungen!$E$20,0)*(1+Randbedingungen!$E$32)^AN1</f>
        <v>0</v>
      </c>
    </row>
    <row r="10" spans="2:46" ht="15.75" thickBot="1">
      <c r="H10" s="44" t="s">
        <v>131</v>
      </c>
      <c r="I10" s="89"/>
      <c r="J10" s="90">
        <f>SUM(J5:J9)</f>
        <v>-330000</v>
      </c>
      <c r="K10" s="90">
        <f t="shared" ref="K10:AL10" si="0">SUM(K5:K9)*(-1)</f>
        <v>0</v>
      </c>
      <c r="L10" s="90">
        <f t="shared" si="0"/>
        <v>0</v>
      </c>
      <c r="M10" s="90">
        <f t="shared" si="0"/>
        <v>0</v>
      </c>
      <c r="N10" s="90">
        <f t="shared" si="0"/>
        <v>0</v>
      </c>
      <c r="O10" s="90">
        <f t="shared" si="0"/>
        <v>61442.219228223963</v>
      </c>
      <c r="P10" s="90">
        <f t="shared" si="0"/>
        <v>0</v>
      </c>
      <c r="Q10" s="90">
        <f t="shared" si="0"/>
        <v>0</v>
      </c>
      <c r="R10" s="90">
        <f t="shared" si="0"/>
        <v>0</v>
      </c>
      <c r="S10" s="90">
        <f t="shared" si="0"/>
        <v>0</v>
      </c>
      <c r="T10" s="90">
        <f t="shared" si="0"/>
        <v>68639.023703438783</v>
      </c>
      <c r="U10" s="90">
        <f t="shared" si="0"/>
        <v>0</v>
      </c>
      <c r="V10" s="90">
        <f t="shared" si="0"/>
        <v>0</v>
      </c>
      <c r="W10" s="90">
        <f t="shared" si="0"/>
        <v>0</v>
      </c>
      <c r="X10" s="90">
        <f t="shared" si="0"/>
        <v>0</v>
      </c>
      <c r="Y10" s="90">
        <f t="shared" si="0"/>
        <v>230036.3968362516</v>
      </c>
      <c r="Z10" s="90">
        <f t="shared" si="0"/>
        <v>0</v>
      </c>
      <c r="AA10" s="90">
        <f t="shared" si="0"/>
        <v>0</v>
      </c>
      <c r="AB10" s="90">
        <f t="shared" si="0"/>
        <v>0</v>
      </c>
      <c r="AC10" s="90">
        <f t="shared" si="0"/>
        <v>0</v>
      </c>
      <c r="AD10" s="90">
        <f t="shared" si="0"/>
        <v>85660.283181113293</v>
      </c>
      <c r="AE10" s="90">
        <f t="shared" si="0"/>
        <v>0</v>
      </c>
      <c r="AF10" s="90">
        <f t="shared" si="0"/>
        <v>0</v>
      </c>
      <c r="AG10" s="90">
        <f t="shared" si="0"/>
        <v>0</v>
      </c>
      <c r="AH10" s="90">
        <f t="shared" si="0"/>
        <v>0</v>
      </c>
      <c r="AI10" s="90">
        <f t="shared" si="0"/>
        <v>95693.779970285585</v>
      </c>
      <c r="AJ10" s="90">
        <f t="shared" si="0"/>
        <v>0</v>
      </c>
      <c r="AK10" s="90">
        <f t="shared" si="0"/>
        <v>0</v>
      </c>
      <c r="AL10" s="90">
        <f t="shared" si="0"/>
        <v>0</v>
      </c>
      <c r="AM10" s="90">
        <v>0</v>
      </c>
      <c r="AN10" s="91">
        <f>SUM(AN5:AN9)*(-1)</f>
        <v>0</v>
      </c>
    </row>
    <row r="11" spans="2:46" ht="15.75" thickBot="1">
      <c r="B11" s="255" t="s">
        <v>119</v>
      </c>
      <c r="C11" s="256" t="s">
        <v>220</v>
      </c>
      <c r="D11" s="257" t="s">
        <v>222</v>
      </c>
      <c r="H11" s="207"/>
      <c r="I11" s="67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149"/>
      <c r="AP11" s="149"/>
      <c r="AQ11" s="149"/>
      <c r="AR11" s="149"/>
      <c r="AS11" s="149"/>
      <c r="AT11" s="149"/>
    </row>
    <row r="12" spans="2:46" ht="15.75" thickBot="1">
      <c r="B12" s="253" t="s">
        <v>11</v>
      </c>
      <c r="C12" s="431" t="s">
        <v>272</v>
      </c>
      <c r="D12" s="432">
        <v>0.5</v>
      </c>
    </row>
    <row r="13" spans="2:46">
      <c r="B13" s="250" t="s">
        <v>15</v>
      </c>
      <c r="C13" s="433" t="s">
        <v>273</v>
      </c>
      <c r="D13" s="434">
        <v>0.05</v>
      </c>
      <c r="H13" s="46" t="s">
        <v>1</v>
      </c>
      <c r="I13" s="70" t="s">
        <v>157</v>
      </c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8"/>
    </row>
    <row r="14" spans="2:46">
      <c r="B14" s="250" t="s">
        <v>20</v>
      </c>
      <c r="C14" s="433" t="s">
        <v>273</v>
      </c>
      <c r="D14" s="434">
        <v>0.05</v>
      </c>
      <c r="H14" s="47" t="s">
        <v>11</v>
      </c>
      <c r="I14" s="64">
        <f>IF(C5="Spezifisch",Randbedingungen!E35,Randbedingungen!$E$32)</f>
        <v>2.24E-2</v>
      </c>
      <c r="J14" s="105" cm="1">
        <f t="array" ref="J14">_xlfn.IFS(C12="neutral",Zusammenfassung!E9,C12="effizienter",Zusammenfassung!E9*(1-D12),C12="ineffizienter",Zusammenfassung!E9*(1+D12))</f>
        <v>2400</v>
      </c>
      <c r="K14" s="24">
        <f>J14*(1+I14)</f>
        <v>2453.7599999999998</v>
      </c>
      <c r="L14" s="27">
        <f>K14*(1+$I$14)</f>
        <v>2508.7242239999996</v>
      </c>
      <c r="M14" s="27">
        <f t="shared" ref="M14:AN14" si="1">L14*(1+$I$14)</f>
        <v>2564.9196466175995</v>
      </c>
      <c r="N14" s="27">
        <f t="shared" si="1"/>
        <v>2622.3738467018338</v>
      </c>
      <c r="O14" s="27">
        <f t="shared" si="1"/>
        <v>2681.1150208679546</v>
      </c>
      <c r="P14" s="27">
        <f t="shared" si="1"/>
        <v>2741.1719973353966</v>
      </c>
      <c r="Q14" s="27">
        <f t="shared" si="1"/>
        <v>2802.5742500757092</v>
      </c>
      <c r="R14" s="27">
        <f t="shared" si="1"/>
        <v>2865.3519132774049</v>
      </c>
      <c r="S14" s="27">
        <f t="shared" si="1"/>
        <v>2929.5357961348186</v>
      </c>
      <c r="T14" s="27">
        <f t="shared" si="1"/>
        <v>2995.1573979682385</v>
      </c>
      <c r="U14" s="27">
        <f t="shared" si="1"/>
        <v>3062.2489236827269</v>
      </c>
      <c r="V14" s="27">
        <f t="shared" si="1"/>
        <v>3130.8432995732201</v>
      </c>
      <c r="W14" s="27">
        <f t="shared" si="1"/>
        <v>3200.9741894836602</v>
      </c>
      <c r="X14" s="27">
        <f t="shared" si="1"/>
        <v>3272.6760113280943</v>
      </c>
      <c r="Y14" s="27">
        <f t="shared" si="1"/>
        <v>3345.9839539818436</v>
      </c>
      <c r="Z14" s="27">
        <f t="shared" si="1"/>
        <v>3420.9339945510369</v>
      </c>
      <c r="AA14" s="27">
        <f t="shared" si="1"/>
        <v>3497.56291602898</v>
      </c>
      <c r="AB14" s="27">
        <f t="shared" si="1"/>
        <v>3575.9083253480289</v>
      </c>
      <c r="AC14" s="27">
        <f t="shared" si="1"/>
        <v>3656.0086718358248</v>
      </c>
      <c r="AD14" s="27">
        <f t="shared" si="1"/>
        <v>3737.9032660849471</v>
      </c>
      <c r="AE14" s="27">
        <f t="shared" si="1"/>
        <v>3821.6322992452497</v>
      </c>
      <c r="AF14" s="27">
        <f t="shared" si="1"/>
        <v>3907.2368627483434</v>
      </c>
      <c r="AG14" s="27">
        <f t="shared" si="1"/>
        <v>3994.758968473906</v>
      </c>
      <c r="AH14" s="27">
        <f t="shared" si="1"/>
        <v>4084.2415693677212</v>
      </c>
      <c r="AI14" s="27">
        <f t="shared" si="1"/>
        <v>4175.7285805215579</v>
      </c>
      <c r="AJ14" s="27">
        <f t="shared" si="1"/>
        <v>4269.2649007252403</v>
      </c>
      <c r="AK14" s="27">
        <f t="shared" si="1"/>
        <v>4364.8964345014856</v>
      </c>
      <c r="AL14" s="27">
        <f t="shared" si="1"/>
        <v>4462.6701146343185</v>
      </c>
      <c r="AM14" s="27">
        <f t="shared" si="1"/>
        <v>4562.6339252021271</v>
      </c>
      <c r="AN14" s="48">
        <f t="shared" si="1"/>
        <v>4664.8369251266549</v>
      </c>
    </row>
    <row r="15" spans="2:46">
      <c r="H15" s="47" t="s">
        <v>15</v>
      </c>
      <c r="I15" s="64">
        <f>IF(C5="Spezifisch",Randbedingungen!E36,Randbedingungen!$E$32)</f>
        <v>2.24E-2</v>
      </c>
      <c r="J15" s="105" cm="1">
        <f t="array" ref="J15">_xlfn.IFS(C13="neutral",Zusammenfassung!E10,C13="effizienter",Zusammenfassung!E10*(1-D13),C13="ineffizienter",Zusammenfassung!E10*(1+D13))</f>
        <v>1260</v>
      </c>
      <c r="K15" s="24">
        <f t="shared" ref="K15:K17" si="2">J15*(1+I15)</f>
        <v>1288.2239999999999</v>
      </c>
      <c r="L15" s="27">
        <f>K15*(1+$I$15)</f>
        <v>1317.0802176</v>
      </c>
      <c r="M15" s="27">
        <f t="shared" ref="M15:AN15" si="3">L15*(1+$I$15)</f>
        <v>1346.58281447424</v>
      </c>
      <c r="N15" s="27">
        <f t="shared" si="3"/>
        <v>1376.7462695184629</v>
      </c>
      <c r="O15" s="27">
        <f t="shared" si="3"/>
        <v>1407.5853859556764</v>
      </c>
      <c r="P15" s="27">
        <f t="shared" si="3"/>
        <v>1439.1152986010836</v>
      </c>
      <c r="Q15" s="27">
        <f t="shared" si="3"/>
        <v>1471.3514812897479</v>
      </c>
      <c r="R15" s="27">
        <f t="shared" si="3"/>
        <v>1504.3097544706382</v>
      </c>
      <c r="S15" s="27">
        <f t="shared" si="3"/>
        <v>1538.0062929707804</v>
      </c>
      <c r="T15" s="27">
        <f t="shared" si="3"/>
        <v>1572.4576339333257</v>
      </c>
      <c r="U15" s="27">
        <f t="shared" si="3"/>
        <v>1607.6806849334321</v>
      </c>
      <c r="V15" s="27">
        <f t="shared" si="3"/>
        <v>1643.6927322759409</v>
      </c>
      <c r="W15" s="27">
        <f t="shared" si="3"/>
        <v>1680.511449478922</v>
      </c>
      <c r="X15" s="27">
        <f t="shared" si="3"/>
        <v>1718.1549059472497</v>
      </c>
      <c r="Y15" s="27">
        <f t="shared" si="3"/>
        <v>1756.641575840468</v>
      </c>
      <c r="Z15" s="27">
        <f t="shared" si="3"/>
        <v>1795.9903471392945</v>
      </c>
      <c r="AA15" s="27">
        <f t="shared" si="3"/>
        <v>1836.2205309152146</v>
      </c>
      <c r="AB15" s="27">
        <f t="shared" si="3"/>
        <v>1877.3518708077154</v>
      </c>
      <c r="AC15" s="27">
        <f t="shared" si="3"/>
        <v>1919.4045527138082</v>
      </c>
      <c r="AD15" s="27">
        <f t="shared" si="3"/>
        <v>1962.3992146945975</v>
      </c>
      <c r="AE15" s="27">
        <f t="shared" si="3"/>
        <v>2006.3569571037565</v>
      </c>
      <c r="AF15" s="27">
        <f t="shared" si="3"/>
        <v>2051.2993529428804</v>
      </c>
      <c r="AG15" s="27">
        <f t="shared" si="3"/>
        <v>2097.2484584488011</v>
      </c>
      <c r="AH15" s="27">
        <f t="shared" si="3"/>
        <v>2144.2268239180544</v>
      </c>
      <c r="AI15" s="27">
        <f t="shared" si="3"/>
        <v>2192.2575047738187</v>
      </c>
      <c r="AJ15" s="27">
        <f t="shared" si="3"/>
        <v>2241.3640728807522</v>
      </c>
      <c r="AK15" s="27">
        <f t="shared" si="3"/>
        <v>2291.5706281132811</v>
      </c>
      <c r="AL15" s="27">
        <f t="shared" si="3"/>
        <v>2342.9018101830184</v>
      </c>
      <c r="AM15" s="27">
        <f t="shared" si="3"/>
        <v>2395.3828107311178</v>
      </c>
      <c r="AN15" s="48">
        <f t="shared" si="3"/>
        <v>2449.0393856914948</v>
      </c>
    </row>
    <row r="16" spans="2:46">
      <c r="B16" s="250" t="s">
        <v>26</v>
      </c>
      <c r="C16" s="433" t="s">
        <v>221</v>
      </c>
      <c r="D16" s="434">
        <v>0.05</v>
      </c>
      <c r="H16" s="47" t="s">
        <v>20</v>
      </c>
      <c r="I16" s="64">
        <f>IF(C5="Spezifisch",Randbedingungen!E37,Randbedingungen!$E$32)</f>
        <v>2.24E-2</v>
      </c>
      <c r="J16" s="105" cm="1">
        <f t="array" ref="J16">_xlfn.IFS(C14="neutral",Zusammenfassung!E11,C14="effizienter",Zusammenfassung!E11*(1-D14),C14="ineffizienter",Zusammenfassung!E11*(1+D14))</f>
        <v>22417.499999999996</v>
      </c>
      <c r="K16" s="24">
        <f t="shared" si="2"/>
        <v>22919.651999999995</v>
      </c>
      <c r="L16" s="27">
        <f>K16*(1+$I$16)</f>
        <v>23433.052204799995</v>
      </c>
      <c r="M16" s="27">
        <f t="shared" ref="M16:AN16" si="4">L16*(1+$I$16)</f>
        <v>23957.952574187515</v>
      </c>
      <c r="N16" s="27">
        <f t="shared" si="4"/>
        <v>24494.610711849316</v>
      </c>
      <c r="O16" s="27">
        <f t="shared" si="4"/>
        <v>25043.28999179474</v>
      </c>
      <c r="P16" s="27">
        <f t="shared" si="4"/>
        <v>25604.259687610942</v>
      </c>
      <c r="Q16" s="27">
        <f t="shared" si="4"/>
        <v>26177.795104613426</v>
      </c>
      <c r="R16" s="27">
        <f t="shared" si="4"/>
        <v>26764.177714956764</v>
      </c>
      <c r="S16" s="27">
        <f t="shared" si="4"/>
        <v>27363.695295771795</v>
      </c>
      <c r="T16" s="27">
        <f t="shared" si="4"/>
        <v>27976.642070397083</v>
      </c>
      <c r="U16" s="27">
        <f t="shared" si="4"/>
        <v>28603.318852773977</v>
      </c>
      <c r="V16" s="27">
        <f t="shared" si="4"/>
        <v>29244.033195076114</v>
      </c>
      <c r="W16" s="27">
        <f t="shared" si="4"/>
        <v>29899.099538645816</v>
      </c>
      <c r="X16" s="27">
        <f t="shared" si="4"/>
        <v>30568.839368311481</v>
      </c>
      <c r="Y16" s="27">
        <f t="shared" si="4"/>
        <v>31253.581370161657</v>
      </c>
      <c r="Z16" s="27">
        <f t="shared" si="4"/>
        <v>31953.661592853277</v>
      </c>
      <c r="AA16" s="27">
        <f t="shared" si="4"/>
        <v>32669.423612533192</v>
      </c>
      <c r="AB16" s="27">
        <f t="shared" si="4"/>
        <v>33401.218701453938</v>
      </c>
      <c r="AC16" s="27">
        <f t="shared" si="4"/>
        <v>34149.406000366507</v>
      </c>
      <c r="AD16" s="27">
        <f t="shared" si="4"/>
        <v>34914.352694774716</v>
      </c>
      <c r="AE16" s="27">
        <f t="shared" si="4"/>
        <v>35696.43419513767</v>
      </c>
      <c r="AF16" s="27">
        <f t="shared" si="4"/>
        <v>36496.034321108753</v>
      </c>
      <c r="AG16" s="27">
        <f t="shared" si="4"/>
        <v>37313.545489901589</v>
      </c>
      <c r="AH16" s="27">
        <f t="shared" si="4"/>
        <v>38149.368908875382</v>
      </c>
      <c r="AI16" s="27">
        <f t="shared" si="4"/>
        <v>39003.914772434189</v>
      </c>
      <c r="AJ16" s="27">
        <f t="shared" si="4"/>
        <v>39877.602463336712</v>
      </c>
      <c r="AK16" s="27">
        <f t="shared" si="4"/>
        <v>40770.860758515453</v>
      </c>
      <c r="AL16" s="27">
        <f t="shared" si="4"/>
        <v>41684.128039506199</v>
      </c>
      <c r="AM16" s="27">
        <f t="shared" si="4"/>
        <v>42617.852507591138</v>
      </c>
      <c r="AN16" s="48">
        <f t="shared" si="4"/>
        <v>43572.492403761178</v>
      </c>
    </row>
    <row r="17" spans="2:40" ht="15.75" thickBot="1">
      <c r="H17" s="49" t="s">
        <v>23</v>
      </c>
      <c r="I17" s="65">
        <f>IF(C5="Spezifisch",Randbedingungen!E38,Randbedingungen!$E$32)</f>
        <v>2.24E-2</v>
      </c>
      <c r="J17" s="106">
        <f>Zusammenfassung!E12</f>
        <v>36800</v>
      </c>
      <c r="K17" s="28">
        <f t="shared" si="2"/>
        <v>37624.32</v>
      </c>
      <c r="L17" s="28">
        <f>K17*(1+$I$17)</f>
        <v>38467.104767999997</v>
      </c>
      <c r="M17" s="28">
        <f t="shared" ref="M17:AN17" si="5">L17*(1+$I$17)</f>
        <v>39328.767914803197</v>
      </c>
      <c r="N17" s="28">
        <f t="shared" si="5"/>
        <v>40209.732316094785</v>
      </c>
      <c r="O17" s="28">
        <f t="shared" si="5"/>
        <v>41110.430319975305</v>
      </c>
      <c r="P17" s="28">
        <f t="shared" si="5"/>
        <v>42031.303959142751</v>
      </c>
      <c r="Q17" s="28">
        <f t="shared" si="5"/>
        <v>42972.805167827551</v>
      </c>
      <c r="R17" s="28">
        <f t="shared" si="5"/>
        <v>43935.396003586888</v>
      </c>
      <c r="S17" s="28">
        <f t="shared" si="5"/>
        <v>44919.54887406723</v>
      </c>
      <c r="T17" s="28">
        <f t="shared" si="5"/>
        <v>45925.746768846337</v>
      </c>
      <c r="U17" s="28">
        <f t="shared" si="5"/>
        <v>46954.483496468492</v>
      </c>
      <c r="V17" s="28">
        <f t="shared" si="5"/>
        <v>48006.263926789383</v>
      </c>
      <c r="W17" s="28">
        <f t="shared" si="5"/>
        <v>49081.604238749467</v>
      </c>
      <c r="X17" s="28">
        <f t="shared" si="5"/>
        <v>50181.032173697451</v>
      </c>
      <c r="Y17" s="28">
        <f t="shared" si="5"/>
        <v>51305.087294388271</v>
      </c>
      <c r="Z17" s="28">
        <f t="shared" si="5"/>
        <v>52454.321249782566</v>
      </c>
      <c r="AA17" s="28">
        <f t="shared" si="5"/>
        <v>53629.298045777694</v>
      </c>
      <c r="AB17" s="28">
        <f t="shared" si="5"/>
        <v>54830.594322003111</v>
      </c>
      <c r="AC17" s="28">
        <f t="shared" si="5"/>
        <v>56058.79963481598</v>
      </c>
      <c r="AD17" s="28">
        <f t="shared" si="5"/>
        <v>57314.516746635854</v>
      </c>
      <c r="AE17" s="28">
        <f t="shared" si="5"/>
        <v>58598.361921760494</v>
      </c>
      <c r="AF17" s="28">
        <f t="shared" si="5"/>
        <v>59910.965228807931</v>
      </c>
      <c r="AG17" s="28">
        <f t="shared" si="5"/>
        <v>61252.970849933226</v>
      </c>
      <c r="AH17" s="28">
        <f t="shared" si="5"/>
        <v>62625.037396971726</v>
      </c>
      <c r="AI17" s="28">
        <f t="shared" si="5"/>
        <v>64027.83823466389</v>
      </c>
      <c r="AJ17" s="28">
        <f t="shared" si="5"/>
        <v>65462.061811120358</v>
      </c>
      <c r="AK17" s="28">
        <f t="shared" si="5"/>
        <v>66928.411995689457</v>
      </c>
      <c r="AL17" s="28">
        <f t="shared" si="5"/>
        <v>68427.608424392893</v>
      </c>
      <c r="AM17" s="28">
        <f t="shared" si="5"/>
        <v>69960.386853099291</v>
      </c>
      <c r="AN17" s="50">
        <f t="shared" si="5"/>
        <v>71527.499518608718</v>
      </c>
    </row>
    <row r="18" spans="2:40" ht="15.75" thickTop="1">
      <c r="B18" s="250" t="s">
        <v>72</v>
      </c>
      <c r="C18" s="433" t="s">
        <v>221</v>
      </c>
      <c r="D18" s="434">
        <v>0.05</v>
      </c>
      <c r="H18" s="51" t="s">
        <v>131</v>
      </c>
      <c r="I18" s="107"/>
      <c r="J18" s="107">
        <f>SUM(J14:J17)</f>
        <v>62877.5</v>
      </c>
      <c r="K18" s="34">
        <f t="shared" ref="K18:AN18" si="6">SUM(K14:K17)</f>
        <v>64285.955999999991</v>
      </c>
      <c r="L18" s="34">
        <f t="shared" si="6"/>
        <v>65725.961414399993</v>
      </c>
      <c r="M18" s="34">
        <f t="shared" si="6"/>
        <v>67198.222950082549</v>
      </c>
      <c r="N18" s="34">
        <f t="shared" si="6"/>
        <v>68703.463144164401</v>
      </c>
      <c r="O18" s="34">
        <f t="shared" si="6"/>
        <v>70242.420718593668</v>
      </c>
      <c r="P18" s="34">
        <f t="shared" si="6"/>
        <v>71815.850942690173</v>
      </c>
      <c r="Q18" s="34">
        <f t="shared" si="6"/>
        <v>73424.52600380643</v>
      </c>
      <c r="R18" s="34">
        <f t="shared" si="6"/>
        <v>75069.235386291693</v>
      </c>
      <c r="S18" s="34">
        <f t="shared" si="6"/>
        <v>76750.78625894463</v>
      </c>
      <c r="T18" s="34">
        <f t="shared" si="6"/>
        <v>78470.003871144989</v>
      </c>
      <c r="U18" s="34">
        <f t="shared" si="6"/>
        <v>80227.731957858632</v>
      </c>
      <c r="V18" s="34">
        <f t="shared" si="6"/>
        <v>82024.833153714659</v>
      </c>
      <c r="W18" s="34">
        <f t="shared" si="6"/>
        <v>83862.189416357869</v>
      </c>
      <c r="X18" s="34">
        <f t="shared" si="6"/>
        <v>85740.702459284279</v>
      </c>
      <c r="Y18" s="34">
        <f t="shared" si="6"/>
        <v>87661.29419437224</v>
      </c>
      <c r="Z18" s="34">
        <f t="shared" si="6"/>
        <v>89624.907184326177</v>
      </c>
      <c r="AA18" s="34">
        <f t="shared" si="6"/>
        <v>91632.505105255084</v>
      </c>
      <c r="AB18" s="34">
        <f t="shared" si="6"/>
        <v>93685.073219612794</v>
      </c>
      <c r="AC18" s="34">
        <f t="shared" si="6"/>
        <v>95783.618859732116</v>
      </c>
      <c r="AD18" s="34">
        <f t="shared" si="6"/>
        <v>97929.171922190115</v>
      </c>
      <c r="AE18" s="34">
        <f t="shared" si="6"/>
        <v>100122.78537324717</v>
      </c>
      <c r="AF18" s="34">
        <f t="shared" si="6"/>
        <v>102365.5357656079</v>
      </c>
      <c r="AG18" s="34">
        <f t="shared" si="6"/>
        <v>104658.52376675751</v>
      </c>
      <c r="AH18" s="34">
        <f t="shared" si="6"/>
        <v>107002.87469913288</v>
      </c>
      <c r="AI18" s="34">
        <f t="shared" si="6"/>
        <v>109399.73909239346</v>
      </c>
      <c r="AJ18" s="34">
        <f t="shared" si="6"/>
        <v>111850.29324806307</v>
      </c>
      <c r="AK18" s="34">
        <f t="shared" si="6"/>
        <v>114355.73981681968</v>
      </c>
      <c r="AL18" s="34">
        <f t="shared" si="6"/>
        <v>116917.30838871642</v>
      </c>
      <c r="AM18" s="34">
        <f t="shared" si="6"/>
        <v>119536.25609662368</v>
      </c>
      <c r="AN18" s="52">
        <f t="shared" si="6"/>
        <v>122213.86823318806</v>
      </c>
    </row>
    <row r="19" spans="2:40" ht="15.75" thickBot="1">
      <c r="C19" s="146"/>
      <c r="D19" s="86"/>
      <c r="H19" s="47"/>
      <c r="I19" s="6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41"/>
    </row>
    <row r="20" spans="2:40" ht="15.75" thickBot="1">
      <c r="B20" s="258" t="s">
        <v>223</v>
      </c>
      <c r="C20" s="164"/>
      <c r="D20" s="166"/>
      <c r="H20" s="51" t="s">
        <v>26</v>
      </c>
      <c r="I20" s="71" t="s">
        <v>157</v>
      </c>
      <c r="K20" s="24"/>
      <c r="AN20" s="5"/>
    </row>
    <row r="21" spans="2:40" ht="15.75" thickBot="1">
      <c r="B21" s="253" t="s">
        <v>139</v>
      </c>
      <c r="C21" s="431" t="s">
        <v>274</v>
      </c>
      <c r="D21" s="432">
        <v>0.05</v>
      </c>
      <c r="H21" s="49" t="s">
        <v>158</v>
      </c>
      <c r="I21" s="65">
        <f>IF(C54="Spezifisch",Randbedingungen!E39,Randbedingungen!$E$32)</f>
        <v>2.24E-2</v>
      </c>
      <c r="J21" s="108" cm="1">
        <f t="array" ref="J21">_xlfn.IFS(C16="neutral",Zusammenfassung!E15,C16="effizienter",Zusammenfassung!E15*(1-D16),C16="ineffizienter",Zusammenfassung!E15*(1+D16))</f>
        <v>25200</v>
      </c>
      <c r="K21" s="26">
        <f>J21*(1+I21)</f>
        <v>25764.48</v>
      </c>
      <c r="L21" s="28">
        <f>K21*(1+$I$21)</f>
        <v>26341.604351999998</v>
      </c>
      <c r="M21" s="28">
        <f>L21*(1+$I$21)</f>
        <v>26931.656289484799</v>
      </c>
      <c r="N21" s="28">
        <f t="shared" ref="N21:AN21" si="7">M21*(1+$I$21)</f>
        <v>27534.925390369259</v>
      </c>
      <c r="O21" s="28">
        <f t="shared" si="7"/>
        <v>28151.707719113529</v>
      </c>
      <c r="P21" s="28">
        <f t="shared" si="7"/>
        <v>28782.30597202167</v>
      </c>
      <c r="Q21" s="28">
        <f t="shared" si="7"/>
        <v>29427.029625794956</v>
      </c>
      <c r="R21" s="28">
        <f t="shared" si="7"/>
        <v>30086.195089412762</v>
      </c>
      <c r="S21" s="28">
        <f t="shared" si="7"/>
        <v>30760.125859415606</v>
      </c>
      <c r="T21" s="28">
        <f t="shared" si="7"/>
        <v>31449.152678666516</v>
      </c>
      <c r="U21" s="28">
        <f t="shared" si="7"/>
        <v>32153.613698668647</v>
      </c>
      <c r="V21" s="28">
        <f t="shared" si="7"/>
        <v>32873.854645518826</v>
      </c>
      <c r="W21" s="28">
        <f t="shared" si="7"/>
        <v>33610.228989578449</v>
      </c>
      <c r="X21" s="28">
        <f t="shared" si="7"/>
        <v>34363.098118945003</v>
      </c>
      <c r="Y21" s="28">
        <f t="shared" si="7"/>
        <v>35132.831516809369</v>
      </c>
      <c r="Z21" s="28">
        <f t="shared" si="7"/>
        <v>35919.806942785901</v>
      </c>
      <c r="AA21" s="28">
        <f t="shared" si="7"/>
        <v>36724.410618304304</v>
      </c>
      <c r="AB21" s="28">
        <f t="shared" si="7"/>
        <v>37547.037416154322</v>
      </c>
      <c r="AC21" s="28">
        <f t="shared" si="7"/>
        <v>38388.091054276178</v>
      </c>
      <c r="AD21" s="28">
        <f t="shared" si="7"/>
        <v>39247.984293891961</v>
      </c>
      <c r="AE21" s="28">
        <f t="shared" si="7"/>
        <v>40127.139142075139</v>
      </c>
      <c r="AF21" s="28">
        <f t="shared" si="7"/>
        <v>41025.987058857623</v>
      </c>
      <c r="AG21" s="28">
        <f t="shared" si="7"/>
        <v>41944.969168976029</v>
      </c>
      <c r="AH21" s="28">
        <f t="shared" si="7"/>
        <v>42884.536478361093</v>
      </c>
      <c r="AI21" s="28">
        <f t="shared" si="7"/>
        <v>43845.150095476383</v>
      </c>
      <c r="AJ21" s="28">
        <f t="shared" si="7"/>
        <v>44827.281457615056</v>
      </c>
      <c r="AK21" s="28">
        <f t="shared" si="7"/>
        <v>45831.412562265628</v>
      </c>
      <c r="AL21" s="28">
        <f t="shared" si="7"/>
        <v>46858.036203660376</v>
      </c>
      <c r="AM21" s="28">
        <f t="shared" si="7"/>
        <v>47907.656214622366</v>
      </c>
      <c r="AN21" s="50">
        <f t="shared" si="7"/>
        <v>48980.787713829908</v>
      </c>
    </row>
    <row r="22" spans="2:40" ht="16.5" thickTop="1" thickBot="1">
      <c r="H22" s="53" t="s">
        <v>131</v>
      </c>
      <c r="I22" s="72"/>
      <c r="J22" s="109">
        <f>J21</f>
        <v>25200</v>
      </c>
      <c r="K22" s="54">
        <f>K21</f>
        <v>25764.48</v>
      </c>
      <c r="L22" s="54">
        <f t="shared" ref="L22:AN22" si="8">L21</f>
        <v>26341.604351999998</v>
      </c>
      <c r="M22" s="54">
        <f t="shared" si="8"/>
        <v>26931.656289484799</v>
      </c>
      <c r="N22" s="54">
        <f t="shared" si="8"/>
        <v>27534.925390369259</v>
      </c>
      <c r="O22" s="54">
        <f t="shared" si="8"/>
        <v>28151.707719113529</v>
      </c>
      <c r="P22" s="54">
        <f t="shared" si="8"/>
        <v>28782.30597202167</v>
      </c>
      <c r="Q22" s="54">
        <f t="shared" si="8"/>
        <v>29427.029625794956</v>
      </c>
      <c r="R22" s="54">
        <f t="shared" si="8"/>
        <v>30086.195089412762</v>
      </c>
      <c r="S22" s="54">
        <f t="shared" si="8"/>
        <v>30760.125859415606</v>
      </c>
      <c r="T22" s="54">
        <f t="shared" si="8"/>
        <v>31449.152678666516</v>
      </c>
      <c r="U22" s="54">
        <f t="shared" si="8"/>
        <v>32153.613698668647</v>
      </c>
      <c r="V22" s="54">
        <f t="shared" si="8"/>
        <v>32873.854645518826</v>
      </c>
      <c r="W22" s="54">
        <f t="shared" si="8"/>
        <v>33610.228989578449</v>
      </c>
      <c r="X22" s="54">
        <f t="shared" si="8"/>
        <v>34363.098118945003</v>
      </c>
      <c r="Y22" s="54">
        <f t="shared" si="8"/>
        <v>35132.831516809369</v>
      </c>
      <c r="Z22" s="54">
        <f t="shared" si="8"/>
        <v>35919.806942785901</v>
      </c>
      <c r="AA22" s="54">
        <f t="shared" si="8"/>
        <v>36724.410618304304</v>
      </c>
      <c r="AB22" s="54">
        <f t="shared" si="8"/>
        <v>37547.037416154322</v>
      </c>
      <c r="AC22" s="54">
        <f t="shared" si="8"/>
        <v>38388.091054276178</v>
      </c>
      <c r="AD22" s="54">
        <f t="shared" si="8"/>
        <v>39247.984293891961</v>
      </c>
      <c r="AE22" s="54">
        <f t="shared" si="8"/>
        <v>40127.139142075139</v>
      </c>
      <c r="AF22" s="54">
        <f t="shared" si="8"/>
        <v>41025.987058857623</v>
      </c>
      <c r="AG22" s="54">
        <f t="shared" si="8"/>
        <v>41944.969168976029</v>
      </c>
      <c r="AH22" s="54">
        <f t="shared" si="8"/>
        <v>42884.536478361093</v>
      </c>
      <c r="AI22" s="54">
        <f t="shared" si="8"/>
        <v>43845.150095476383</v>
      </c>
      <c r="AJ22" s="54">
        <f t="shared" si="8"/>
        <v>44827.281457615056</v>
      </c>
      <c r="AK22" s="54">
        <f t="shared" si="8"/>
        <v>45831.412562265628</v>
      </c>
      <c r="AL22" s="54">
        <f t="shared" si="8"/>
        <v>46858.036203660376</v>
      </c>
      <c r="AM22" s="54">
        <f t="shared" si="8"/>
        <v>47907.656214622366</v>
      </c>
      <c r="AN22" s="55">
        <f t="shared" si="8"/>
        <v>48980.787713829908</v>
      </c>
    </row>
    <row r="23" spans="2:40" ht="15.75" thickBot="1">
      <c r="H23" s="21"/>
      <c r="I23" s="71"/>
      <c r="J23" s="21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</row>
    <row r="24" spans="2:40">
      <c r="H24" s="99" t="s">
        <v>69</v>
      </c>
      <c r="I24" s="70" t="s">
        <v>159</v>
      </c>
      <c r="J24" s="100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2"/>
    </row>
    <row r="25" spans="2:40">
      <c r="H25" s="92" t="s">
        <v>149</v>
      </c>
      <c r="I25" s="64">
        <f>IF(C5="Spezifisch",Randbedingungen!E41,Randbedingungen!$E$32)</f>
        <v>2.24E-2</v>
      </c>
      <c r="J25" s="110" cm="1">
        <f t="array" ref="J25">_xlfn.IFS(C18="neutral",Zusammenfassung!E18,C18="effizienter",Zusammenfassung!E18*(1-D18),C18="ineffizienter",Zusammenfassung!E18*(1+D18))</f>
        <v>54000</v>
      </c>
      <c r="K25" s="14">
        <f>J25*(1+I25)</f>
        <v>55209.599999999999</v>
      </c>
      <c r="L25" s="14">
        <f>K25*(1+$I$25)</f>
        <v>56446.295039999997</v>
      </c>
      <c r="M25" s="14">
        <f t="shared" ref="M25:AN25" si="9">L25*(1+$I$25)</f>
        <v>57710.692048895995</v>
      </c>
      <c r="N25" s="14">
        <f t="shared" si="9"/>
        <v>59003.411550791265</v>
      </c>
      <c r="O25" s="14">
        <f t="shared" si="9"/>
        <v>60325.087969528984</v>
      </c>
      <c r="P25" s="14">
        <f t="shared" si="9"/>
        <v>61676.369940046432</v>
      </c>
      <c r="Q25" s="14">
        <f t="shared" si="9"/>
        <v>63057.920626703468</v>
      </c>
      <c r="R25" s="14">
        <f t="shared" si="9"/>
        <v>64470.418048741623</v>
      </c>
      <c r="S25" s="14">
        <f t="shared" si="9"/>
        <v>65914.555413033435</v>
      </c>
      <c r="T25" s="14">
        <f t="shared" si="9"/>
        <v>67391.041454285383</v>
      </c>
      <c r="U25" s="14">
        <f t="shared" si="9"/>
        <v>68900.60078286138</v>
      </c>
      <c r="V25" s="14">
        <f t="shared" si="9"/>
        <v>70443.974240397467</v>
      </c>
      <c r="W25" s="14">
        <f t="shared" si="9"/>
        <v>72021.91926338237</v>
      </c>
      <c r="X25" s="14">
        <f t="shared" si="9"/>
        <v>73635.210254882128</v>
      </c>
      <c r="Y25" s="14">
        <f t="shared" si="9"/>
        <v>75284.63896459149</v>
      </c>
      <c r="Z25" s="14">
        <f t="shared" si="9"/>
        <v>76971.014877398338</v>
      </c>
      <c r="AA25" s="14">
        <f t="shared" si="9"/>
        <v>78695.165610652053</v>
      </c>
      <c r="AB25" s="14">
        <f t="shared" si="9"/>
        <v>80457.93732033066</v>
      </c>
      <c r="AC25" s="14">
        <f t="shared" si="9"/>
        <v>82260.195116306058</v>
      </c>
      <c r="AD25" s="14">
        <f t="shared" si="9"/>
        <v>84102.823486911308</v>
      </c>
      <c r="AE25" s="14">
        <f t="shared" si="9"/>
        <v>85986.72673301812</v>
      </c>
      <c r="AF25" s="14">
        <f t="shared" si="9"/>
        <v>87912.829411837723</v>
      </c>
      <c r="AG25" s="14">
        <f t="shared" si="9"/>
        <v>89882.07679066289</v>
      </c>
      <c r="AH25" s="14">
        <f t="shared" si="9"/>
        <v>91895.435310773741</v>
      </c>
      <c r="AI25" s="14">
        <f t="shared" si="9"/>
        <v>93953.893061735071</v>
      </c>
      <c r="AJ25" s="14">
        <f t="shared" si="9"/>
        <v>96058.460266317939</v>
      </c>
      <c r="AK25" s="14">
        <f t="shared" si="9"/>
        <v>98210.169776283452</v>
      </c>
      <c r="AL25" s="14">
        <f t="shared" si="9"/>
        <v>100410.0775792722</v>
      </c>
      <c r="AM25" s="14">
        <f t="shared" si="9"/>
        <v>102659.26331704789</v>
      </c>
      <c r="AN25" s="15">
        <f t="shared" si="9"/>
        <v>104958.83081534976</v>
      </c>
    </row>
    <row r="26" spans="2:40">
      <c r="H26" s="93" t="s">
        <v>160</v>
      </c>
      <c r="I26" s="67" t="s">
        <v>161</v>
      </c>
      <c r="AN26" s="5"/>
    </row>
    <row r="27" spans="2:40" ht="15.75" thickBot="1">
      <c r="H27" s="92" t="s">
        <v>74</v>
      </c>
      <c r="I27" s="64">
        <f>Input!E122</f>
        <v>0.02</v>
      </c>
      <c r="J27" s="105">
        <f>Zusammenfassung!E19</f>
        <v>5500</v>
      </c>
      <c r="K27" s="24">
        <f>$I$27*Zusammenfassung!$E$7</f>
        <v>6600</v>
      </c>
      <c r="L27" s="24">
        <f>$I$27*Zusammenfassung!$E$7</f>
        <v>6600</v>
      </c>
      <c r="M27" s="24">
        <f>$I$27*Zusammenfassung!$E$7</f>
        <v>6600</v>
      </c>
      <c r="N27" s="24">
        <f>$I$27*Zusammenfassung!$E$7</f>
        <v>6600</v>
      </c>
      <c r="O27" s="24">
        <f>$I$27*Zusammenfassung!$E$7</f>
        <v>6600</v>
      </c>
      <c r="P27" s="24">
        <f>$I$27*Zusammenfassung!$E$7</f>
        <v>6600</v>
      </c>
      <c r="Q27" s="24">
        <f>$I$27*Zusammenfassung!$E$7</f>
        <v>6600</v>
      </c>
      <c r="R27" s="24">
        <f>$I$27*Zusammenfassung!$E$7</f>
        <v>6600</v>
      </c>
      <c r="S27" s="24">
        <f>$I$27*Zusammenfassung!$E$7</f>
        <v>6600</v>
      </c>
      <c r="T27" s="24">
        <f>$I$27*Zusammenfassung!$E$7</f>
        <v>6600</v>
      </c>
      <c r="U27" s="24">
        <f>$I$27*Zusammenfassung!$E$7</f>
        <v>6600</v>
      </c>
      <c r="V27" s="24">
        <f>$I$27*Zusammenfassung!$E$7</f>
        <v>6600</v>
      </c>
      <c r="W27" s="24">
        <f>$I$27*Zusammenfassung!$E$7</f>
        <v>6600</v>
      </c>
      <c r="X27" s="24">
        <f>$I$27*Zusammenfassung!$E$7</f>
        <v>6600</v>
      </c>
      <c r="Y27" s="24">
        <f>$I$27*Zusammenfassung!$E$7</f>
        <v>6600</v>
      </c>
      <c r="Z27" s="24">
        <f>$I$27*Zusammenfassung!$E$7</f>
        <v>6600</v>
      </c>
      <c r="AA27" s="24">
        <f>$I$27*Zusammenfassung!$E$7</f>
        <v>6600</v>
      </c>
      <c r="AB27" s="24">
        <f>$I$27*Zusammenfassung!$E$7</f>
        <v>6600</v>
      </c>
      <c r="AC27" s="24">
        <f>$I$27*Zusammenfassung!$E$7</f>
        <v>6600</v>
      </c>
      <c r="AD27" s="24">
        <f>$I$27*Zusammenfassung!$E$7</f>
        <v>6600</v>
      </c>
      <c r="AE27" s="24">
        <f>$I$27*Zusammenfassung!$E$7</f>
        <v>6600</v>
      </c>
      <c r="AF27" s="24">
        <f>$I$27*Zusammenfassung!$E$7</f>
        <v>6600</v>
      </c>
      <c r="AG27" s="24">
        <f>$I$27*Zusammenfassung!$E$7</f>
        <v>6600</v>
      </c>
      <c r="AH27" s="24">
        <f>$I$27*Zusammenfassung!$E$7</f>
        <v>6600</v>
      </c>
      <c r="AI27" s="24">
        <f>$I$27*Zusammenfassung!$E$7</f>
        <v>6600</v>
      </c>
      <c r="AJ27" s="24">
        <f>$I$27*Zusammenfassung!$E$7</f>
        <v>6600</v>
      </c>
      <c r="AK27" s="24">
        <f>$I$27*Zusammenfassung!$E$7</f>
        <v>6600</v>
      </c>
      <c r="AL27" s="24">
        <f>$I$27*Zusammenfassung!$E$7</f>
        <v>6600</v>
      </c>
      <c r="AM27" s="24">
        <f>$I$27*Zusammenfassung!$E$7</f>
        <v>6600</v>
      </c>
      <c r="AN27" s="41">
        <f>$I$27*Zusammenfassung!$E$7</f>
        <v>6600</v>
      </c>
    </row>
    <row r="28" spans="2:40" ht="15.75" thickBot="1">
      <c r="C28" s="133" t="s">
        <v>225</v>
      </c>
      <c r="D28" s="116" t="s">
        <v>230</v>
      </c>
      <c r="E28" s="116" t="s">
        <v>228</v>
      </c>
      <c r="F28" s="134" t="s">
        <v>231</v>
      </c>
      <c r="H28" s="94" t="s">
        <v>162</v>
      </c>
      <c r="I28" s="65">
        <f>Input!E123</f>
        <v>0.01</v>
      </c>
      <c r="J28" s="108">
        <f>Zusammenfassung!E20</f>
        <v>2750</v>
      </c>
      <c r="K28" s="26">
        <f>$I$28*Zusammenfassung!$E$7</f>
        <v>3300</v>
      </c>
      <c r="L28" s="26">
        <f>$I$28*Zusammenfassung!$E$7</f>
        <v>3300</v>
      </c>
      <c r="M28" s="26">
        <f>$I$28*Zusammenfassung!$E$7</f>
        <v>3300</v>
      </c>
      <c r="N28" s="26">
        <f>$I$28*Zusammenfassung!$E$7</f>
        <v>3300</v>
      </c>
      <c r="O28" s="26">
        <f>$I$28*Zusammenfassung!$E$7</f>
        <v>3300</v>
      </c>
      <c r="P28" s="26">
        <f>$I$28*Zusammenfassung!$E$7</f>
        <v>3300</v>
      </c>
      <c r="Q28" s="26">
        <f>$I$28*Zusammenfassung!$E$7</f>
        <v>3300</v>
      </c>
      <c r="R28" s="26">
        <f>$I$28*Zusammenfassung!$E$7</f>
        <v>3300</v>
      </c>
      <c r="S28" s="26">
        <f>$I$28*Zusammenfassung!$E$7</f>
        <v>3300</v>
      </c>
      <c r="T28" s="26">
        <f>$I$28*Zusammenfassung!$E$7</f>
        <v>3300</v>
      </c>
      <c r="U28" s="26">
        <f>$I$28*Zusammenfassung!$E$7</f>
        <v>3300</v>
      </c>
      <c r="V28" s="26">
        <f>$I$28*Zusammenfassung!$E$7</f>
        <v>3300</v>
      </c>
      <c r="W28" s="26">
        <f>$I$28*Zusammenfassung!$E$7</f>
        <v>3300</v>
      </c>
      <c r="X28" s="26">
        <f>$I$28*Zusammenfassung!$E$7</f>
        <v>3300</v>
      </c>
      <c r="Y28" s="26">
        <f>$I$28*Zusammenfassung!$E$7</f>
        <v>3300</v>
      </c>
      <c r="Z28" s="26">
        <f>$I$28*Zusammenfassung!$E$7</f>
        <v>3300</v>
      </c>
      <c r="AA28" s="26">
        <f>$I$28*Zusammenfassung!$E$7</f>
        <v>3300</v>
      </c>
      <c r="AB28" s="26">
        <f>$I$28*Zusammenfassung!$E$7</f>
        <v>3300</v>
      </c>
      <c r="AC28" s="26">
        <f>$I$28*Zusammenfassung!$E$7</f>
        <v>3300</v>
      </c>
      <c r="AD28" s="26">
        <f>$I$28*Zusammenfassung!$E$7</f>
        <v>3300</v>
      </c>
      <c r="AE28" s="26">
        <f>$I$28*Zusammenfassung!$E$7</f>
        <v>3300</v>
      </c>
      <c r="AF28" s="26">
        <f>$I$28*Zusammenfassung!$E$7</f>
        <v>3300</v>
      </c>
      <c r="AG28" s="26">
        <f>$I$28*Zusammenfassung!$E$7</f>
        <v>3300</v>
      </c>
      <c r="AH28" s="26">
        <f>$I$28*Zusammenfassung!$E$7</f>
        <v>3300</v>
      </c>
      <c r="AI28" s="26">
        <f>$I$28*Zusammenfassung!$E$7</f>
        <v>3300</v>
      </c>
      <c r="AJ28" s="26">
        <f>$I$28*Zusammenfassung!$E$7</f>
        <v>3300</v>
      </c>
      <c r="AK28" s="26">
        <f>$I$28*Zusammenfassung!$E$7</f>
        <v>3300</v>
      </c>
      <c r="AL28" s="26">
        <f>$I$28*Zusammenfassung!$E$7</f>
        <v>3300</v>
      </c>
      <c r="AM28" s="26">
        <f>$I$28*Zusammenfassung!$E$7</f>
        <v>3300</v>
      </c>
      <c r="AN28" s="43">
        <f>$I$28*Zusammenfassung!$E$7</f>
        <v>3300</v>
      </c>
    </row>
    <row r="29" spans="2:40" ht="16.5" thickTop="1" thickBot="1">
      <c r="B29" s="250" t="s">
        <v>218</v>
      </c>
      <c r="C29" s="266">
        <f>Zusammenfassung!E13+Zusammenfassung!E16+Zusammenfassung!E21+Zusammenfassung!E28+Zusammenfassung!E29+Zusammenfassung!E30</f>
        <v>180933.33333333334</v>
      </c>
      <c r="D29" s="266">
        <f>J18+J22+J29+I36</f>
        <v>179660.83333333334</v>
      </c>
      <c r="E29" s="266">
        <f>D29-C29</f>
        <v>-1272.5</v>
      </c>
      <c r="F29" s="267">
        <f>E29/C29</f>
        <v>-7.0329771554900515E-3</v>
      </c>
      <c r="H29" s="95" t="s">
        <v>131</v>
      </c>
      <c r="I29" s="96"/>
      <c r="J29" s="111">
        <f>SUM(J25:J28)</f>
        <v>62250</v>
      </c>
      <c r="K29" s="98">
        <f>SUM(K25:K28)</f>
        <v>65109.599999999999</v>
      </c>
      <c r="L29" s="98">
        <f t="shared" ref="L29:AN29" si="10">SUM(L25:L28)</f>
        <v>66346.295039999997</v>
      </c>
      <c r="M29" s="98">
        <f t="shared" si="10"/>
        <v>67610.692048895988</v>
      </c>
      <c r="N29" s="98">
        <f t="shared" si="10"/>
        <v>68903.411550791265</v>
      </c>
      <c r="O29" s="98">
        <f t="shared" si="10"/>
        <v>70225.087969528977</v>
      </c>
      <c r="P29" s="98">
        <f t="shared" si="10"/>
        <v>71576.369940046425</v>
      </c>
      <c r="Q29" s="98">
        <f t="shared" si="10"/>
        <v>72957.920626703475</v>
      </c>
      <c r="R29" s="98">
        <f t="shared" si="10"/>
        <v>74370.418048741616</v>
      </c>
      <c r="S29" s="98">
        <f t="shared" si="10"/>
        <v>75814.555413033435</v>
      </c>
      <c r="T29" s="98">
        <f t="shared" si="10"/>
        <v>77291.041454285383</v>
      </c>
      <c r="U29" s="98">
        <f t="shared" si="10"/>
        <v>78800.60078286138</v>
      </c>
      <c r="V29" s="98">
        <f t="shared" si="10"/>
        <v>80343.974240397467</v>
      </c>
      <c r="W29" s="98">
        <f t="shared" si="10"/>
        <v>81921.91926338237</v>
      </c>
      <c r="X29" s="98">
        <f t="shared" si="10"/>
        <v>83535.210254882128</v>
      </c>
      <c r="Y29" s="98">
        <f t="shared" si="10"/>
        <v>85184.63896459149</v>
      </c>
      <c r="Z29" s="98">
        <f t="shared" si="10"/>
        <v>86871.014877398338</v>
      </c>
      <c r="AA29" s="98">
        <f t="shared" si="10"/>
        <v>88595.165610652053</v>
      </c>
      <c r="AB29" s="98">
        <f t="shared" si="10"/>
        <v>90357.93732033066</v>
      </c>
      <c r="AC29" s="98">
        <f t="shared" si="10"/>
        <v>92160.195116306058</v>
      </c>
      <c r="AD29" s="98">
        <f t="shared" si="10"/>
        <v>94002.823486911308</v>
      </c>
      <c r="AE29" s="98">
        <f t="shared" si="10"/>
        <v>95886.72673301812</v>
      </c>
      <c r="AF29" s="98">
        <f t="shared" si="10"/>
        <v>97812.829411837723</v>
      </c>
      <c r="AG29" s="98">
        <f t="shared" si="10"/>
        <v>99782.07679066289</v>
      </c>
      <c r="AH29" s="98">
        <f t="shared" si="10"/>
        <v>101795.43531077374</v>
      </c>
      <c r="AI29" s="98">
        <f t="shared" si="10"/>
        <v>103853.89306173507</v>
      </c>
      <c r="AJ29" s="98">
        <f t="shared" si="10"/>
        <v>105958.46026631794</v>
      </c>
      <c r="AK29" s="98">
        <f t="shared" si="10"/>
        <v>108110.16977628345</v>
      </c>
      <c r="AL29" s="98">
        <f t="shared" si="10"/>
        <v>110310.0775792722</v>
      </c>
      <c r="AM29" s="98">
        <f t="shared" si="10"/>
        <v>112559.26331704789</v>
      </c>
      <c r="AN29" s="104">
        <f t="shared" si="10"/>
        <v>114858.83081534976</v>
      </c>
    </row>
    <row r="30" spans="2:40" ht="15.75" thickBot="1">
      <c r="B30" s="250" t="s">
        <v>209</v>
      </c>
      <c r="C30" s="262">
        <f>Zusammenfassung!F13+Zusammenfassung!F16+Zusammenfassung!F21+Zusammenfassung!F28+Zusammenfassung!F29+Zusammenfassung!F30</f>
        <v>139394.16666666666</v>
      </c>
      <c r="D30" s="264">
        <f>J18+J22+J29+I36</f>
        <v>179660.83333333334</v>
      </c>
      <c r="E30" s="266">
        <f t="shared" ref="E30:E31" si="11">D30-C30</f>
        <v>40266.666666666686</v>
      </c>
      <c r="F30" s="263">
        <f t="shared" ref="F30:F31" si="12">E30/C30</f>
        <v>0.2888690942351726</v>
      </c>
      <c r="I30" s="69"/>
    </row>
    <row r="31" spans="2:40">
      <c r="B31" s="250" t="s">
        <v>210</v>
      </c>
      <c r="C31" s="262">
        <f>Zusammenfassung!G13+Zusammenfassung!G16+Zusammenfassung!G21+Zusammenfassung!G28+Zusammenfassung!G29+Zusammenfassung!G30</f>
        <v>222472.5</v>
      </c>
      <c r="D31" s="264">
        <f>J18+J22+J29+I36</f>
        <v>179660.83333333334</v>
      </c>
      <c r="E31" s="266">
        <f t="shared" si="11"/>
        <v>-42811.666666666657</v>
      </c>
      <c r="F31" s="265">
        <f t="shared" si="12"/>
        <v>-0.19243576921492164</v>
      </c>
      <c r="H31" s="56" t="s">
        <v>139</v>
      </c>
      <c r="I31" s="70" t="s">
        <v>158</v>
      </c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8"/>
    </row>
    <row r="32" spans="2:40">
      <c r="H32" s="57" t="s">
        <v>140</v>
      </c>
      <c r="I32" s="205">
        <f>IF(C5="Spezifisch",Randbedingungen!E40,Randbedingungen!$E$32)</f>
        <v>2.24E-2</v>
      </c>
      <c r="J32" s="105" cm="1">
        <f t="array" ref="J32">_xlfn.IFS(C21="neutral",Zusammenfassung!E23,C21="Gering",Zusammenfassung!E23*(1-D21),C21="Hoch",Zusammenfassung!E23*(1+D21))</f>
        <v>163800</v>
      </c>
      <c r="K32" s="24">
        <f>J32*(1+I32)</f>
        <v>167469.12</v>
      </c>
      <c r="L32" s="14">
        <f t="shared" ref="L32:AN32" si="13">K32*(1+$I$32)</f>
        <v>171220.428288</v>
      </c>
      <c r="M32" s="14">
        <f t="shared" si="13"/>
        <v>175055.7658816512</v>
      </c>
      <c r="N32" s="14">
        <f t="shared" si="13"/>
        <v>178977.01503740018</v>
      </c>
      <c r="O32" s="14">
        <f t="shared" si="13"/>
        <v>182986.10017423794</v>
      </c>
      <c r="P32" s="14">
        <f t="shared" si="13"/>
        <v>187084.98881814088</v>
      </c>
      <c r="Q32" s="14">
        <f t="shared" si="13"/>
        <v>191275.69256766723</v>
      </c>
      <c r="R32" s="14">
        <f t="shared" si="13"/>
        <v>195560.26808118296</v>
      </c>
      <c r="S32" s="14">
        <f t="shared" si="13"/>
        <v>199940.81808620147</v>
      </c>
      <c r="T32" s="14">
        <f t="shared" si="13"/>
        <v>204419.49241133238</v>
      </c>
      <c r="U32" s="14">
        <f t="shared" si="13"/>
        <v>208998.48904134621</v>
      </c>
      <c r="V32" s="14">
        <f t="shared" si="13"/>
        <v>213680.05519587235</v>
      </c>
      <c r="W32" s="14">
        <f t="shared" si="13"/>
        <v>218466.48843225988</v>
      </c>
      <c r="X32" s="14">
        <f t="shared" si="13"/>
        <v>223360.13777314249</v>
      </c>
      <c r="Y32" s="14">
        <f t="shared" si="13"/>
        <v>228363.40485926086</v>
      </c>
      <c r="Z32" s="14">
        <f t="shared" si="13"/>
        <v>233478.7451281083</v>
      </c>
      <c r="AA32" s="14">
        <f t="shared" si="13"/>
        <v>238708.66901897793</v>
      </c>
      <c r="AB32" s="14">
        <f t="shared" si="13"/>
        <v>244055.74320500303</v>
      </c>
      <c r="AC32" s="14">
        <f t="shared" si="13"/>
        <v>249522.5918527951</v>
      </c>
      <c r="AD32" s="14">
        <f t="shared" si="13"/>
        <v>255111.8979102977</v>
      </c>
      <c r="AE32" s="14">
        <f t="shared" si="13"/>
        <v>260826.40442348836</v>
      </c>
      <c r="AF32" s="14">
        <f t="shared" si="13"/>
        <v>266668.91588257451</v>
      </c>
      <c r="AG32" s="14">
        <f t="shared" si="13"/>
        <v>272642.29959834419</v>
      </c>
      <c r="AH32" s="14">
        <f t="shared" si="13"/>
        <v>278749.48710934707</v>
      </c>
      <c r="AI32" s="14">
        <f t="shared" si="13"/>
        <v>284993.47562059644</v>
      </c>
      <c r="AJ32" s="14">
        <f t="shared" si="13"/>
        <v>291377.32947449776</v>
      </c>
      <c r="AK32" s="14">
        <f t="shared" si="13"/>
        <v>297904.1816547265</v>
      </c>
      <c r="AL32" s="14">
        <f t="shared" si="13"/>
        <v>304577.23532379238</v>
      </c>
      <c r="AM32" s="14">
        <f t="shared" si="13"/>
        <v>311399.76539504534</v>
      </c>
      <c r="AN32" s="15">
        <f t="shared" si="13"/>
        <v>318375.12013989437</v>
      </c>
    </row>
    <row r="33" spans="6:40" ht="15.75" thickBot="1">
      <c r="H33" s="58" t="s">
        <v>141</v>
      </c>
      <c r="I33" s="206">
        <f>IF(C5="Spezifisch",Randbedingungen!E40,Randbedingungen!$E$32)</f>
        <v>2.24E-2</v>
      </c>
      <c r="J33" s="108">
        <f>Zusammenfassung!E24</f>
        <v>18000</v>
      </c>
      <c r="K33" s="26">
        <f>J33*(1+I33)</f>
        <v>18403.2</v>
      </c>
      <c r="L33" s="29">
        <f>K33*(1+$I$33)</f>
        <v>18815.431680000002</v>
      </c>
      <c r="M33" s="29">
        <f t="shared" ref="M33:AN33" si="14">L33*(1+$I$33)</f>
        <v>19236.897349632</v>
      </c>
      <c r="N33" s="29">
        <f t="shared" si="14"/>
        <v>19667.803850263757</v>
      </c>
      <c r="O33" s="29">
        <f t="shared" si="14"/>
        <v>20108.362656509664</v>
      </c>
      <c r="P33" s="29">
        <f t="shared" si="14"/>
        <v>20558.789980015481</v>
      </c>
      <c r="Q33" s="29">
        <f t="shared" si="14"/>
        <v>21019.306875567829</v>
      </c>
      <c r="R33" s="29">
        <f t="shared" si="14"/>
        <v>21490.139349580546</v>
      </c>
      <c r="S33" s="29">
        <f t="shared" si="14"/>
        <v>21971.51847101115</v>
      </c>
      <c r="T33" s="29">
        <f t="shared" si="14"/>
        <v>22463.6804847618</v>
      </c>
      <c r="U33" s="29">
        <f t="shared" si="14"/>
        <v>22966.866927620464</v>
      </c>
      <c r="V33" s="29">
        <f t="shared" si="14"/>
        <v>23481.32474679916</v>
      </c>
      <c r="W33" s="29">
        <f t="shared" si="14"/>
        <v>24007.306421127461</v>
      </c>
      <c r="X33" s="29">
        <f t="shared" si="14"/>
        <v>24545.070084960716</v>
      </c>
      <c r="Y33" s="29">
        <f t="shared" si="14"/>
        <v>25094.879654863835</v>
      </c>
      <c r="Z33" s="29">
        <f t="shared" si="14"/>
        <v>25657.004959132784</v>
      </c>
      <c r="AA33" s="29">
        <f t="shared" si="14"/>
        <v>26231.72187021736</v>
      </c>
      <c r="AB33" s="29">
        <f t="shared" si="14"/>
        <v>26819.312440110229</v>
      </c>
      <c r="AC33" s="29">
        <f t="shared" si="14"/>
        <v>27420.065038768698</v>
      </c>
      <c r="AD33" s="29">
        <f t="shared" si="14"/>
        <v>28034.274495637117</v>
      </c>
      <c r="AE33" s="29">
        <f t="shared" si="14"/>
        <v>28662.242244339388</v>
      </c>
      <c r="AF33" s="29">
        <f t="shared" si="14"/>
        <v>29304.276470612589</v>
      </c>
      <c r="AG33" s="29">
        <f t="shared" si="14"/>
        <v>29960.692263554309</v>
      </c>
      <c r="AH33" s="29">
        <f t="shared" si="14"/>
        <v>30631.811770257926</v>
      </c>
      <c r="AI33" s="29">
        <f t="shared" si="14"/>
        <v>31317.964353911702</v>
      </c>
      <c r="AJ33" s="29">
        <f t="shared" si="14"/>
        <v>32019.486755439324</v>
      </c>
      <c r="AK33" s="29">
        <f t="shared" si="14"/>
        <v>32736.723258761165</v>
      </c>
      <c r="AL33" s="29">
        <f t="shared" si="14"/>
        <v>33470.025859757414</v>
      </c>
      <c r="AM33" s="29">
        <f t="shared" si="14"/>
        <v>34219.754439015982</v>
      </c>
      <c r="AN33" s="59">
        <f t="shared" si="14"/>
        <v>34986.276938449941</v>
      </c>
    </row>
    <row r="34" spans="6:40" ht="16.5" thickTop="1" thickBot="1">
      <c r="H34" s="60" t="s">
        <v>131</v>
      </c>
      <c r="I34" s="61"/>
      <c r="J34" s="112">
        <f>SUM(J32:J33)</f>
        <v>181800</v>
      </c>
      <c r="K34" s="62">
        <f>SUM(K32:K33)</f>
        <v>185872.32</v>
      </c>
      <c r="L34" s="62">
        <f t="shared" ref="L34:AN34" si="15">SUM(L32:L33)</f>
        <v>190035.859968</v>
      </c>
      <c r="M34" s="62">
        <f t="shared" si="15"/>
        <v>194292.66323128319</v>
      </c>
      <c r="N34" s="62">
        <f t="shared" si="15"/>
        <v>198644.81888766395</v>
      </c>
      <c r="O34" s="62">
        <f t="shared" si="15"/>
        <v>203094.46283074759</v>
      </c>
      <c r="P34" s="62">
        <f t="shared" si="15"/>
        <v>207643.77879815636</v>
      </c>
      <c r="Q34" s="62">
        <f t="shared" si="15"/>
        <v>212294.99944323505</v>
      </c>
      <c r="R34" s="62">
        <f t="shared" si="15"/>
        <v>217050.4074307635</v>
      </c>
      <c r="S34" s="62">
        <f t="shared" si="15"/>
        <v>221912.33655721263</v>
      </c>
      <c r="T34" s="62">
        <f t="shared" si="15"/>
        <v>226883.17289609418</v>
      </c>
      <c r="U34" s="62">
        <f t="shared" si="15"/>
        <v>231965.35596896667</v>
      </c>
      <c r="V34" s="62">
        <f t="shared" si="15"/>
        <v>237161.37994267151</v>
      </c>
      <c r="W34" s="62">
        <f t="shared" si="15"/>
        <v>242473.79485338734</v>
      </c>
      <c r="X34" s="62">
        <f t="shared" si="15"/>
        <v>247905.20785810321</v>
      </c>
      <c r="Y34" s="62">
        <f t="shared" si="15"/>
        <v>253458.28451412468</v>
      </c>
      <c r="Z34" s="62">
        <f t="shared" si="15"/>
        <v>259135.75008724109</v>
      </c>
      <c r="AA34" s="62">
        <f t="shared" si="15"/>
        <v>264940.39088919532</v>
      </c>
      <c r="AB34" s="62">
        <f t="shared" si="15"/>
        <v>270875.05564511329</v>
      </c>
      <c r="AC34" s="62">
        <f t="shared" si="15"/>
        <v>276942.65689156379</v>
      </c>
      <c r="AD34" s="62">
        <f t="shared" si="15"/>
        <v>283146.17240593483</v>
      </c>
      <c r="AE34" s="62">
        <f t="shared" si="15"/>
        <v>289488.64666782774</v>
      </c>
      <c r="AF34" s="62">
        <f t="shared" si="15"/>
        <v>295973.19235318713</v>
      </c>
      <c r="AG34" s="62">
        <f t="shared" si="15"/>
        <v>302602.99186189851</v>
      </c>
      <c r="AH34" s="62">
        <f t="shared" si="15"/>
        <v>309381.29887960502</v>
      </c>
      <c r="AI34" s="62">
        <f t="shared" si="15"/>
        <v>316311.43997450813</v>
      </c>
      <c r="AJ34" s="62">
        <f t="shared" si="15"/>
        <v>323396.81622993707</v>
      </c>
      <c r="AK34" s="62">
        <f t="shared" si="15"/>
        <v>330640.90491348767</v>
      </c>
      <c r="AL34" s="62">
        <f t="shared" si="15"/>
        <v>338047.26118354977</v>
      </c>
      <c r="AM34" s="62">
        <f t="shared" si="15"/>
        <v>345619.51983406133</v>
      </c>
      <c r="AN34" s="63">
        <f t="shared" si="15"/>
        <v>353361.39707834431</v>
      </c>
    </row>
    <row r="35" spans="6:40" s="149" customFormat="1" ht="15.75" thickBot="1">
      <c r="H35" s="207"/>
      <c r="I35" s="207"/>
      <c r="J35" s="261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</row>
    <row r="36" spans="6:40" s="149" customFormat="1" ht="15.75" thickBot="1">
      <c r="H36" s="268" t="s">
        <v>229</v>
      </c>
      <c r="I36" s="269" cm="1">
        <f t="array" ref="I36">_xlfn.IFS(C3="Neutral",SUM(Zusammenfassung!E28:E30),C3="Best Case",SUM(Zusammenfassung!F28:F30),C3="Worst Case",SUM(Zusammenfassung!G28:G30))</f>
        <v>29333.333333333332</v>
      </c>
      <c r="J36" s="261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</row>
    <row r="38" spans="6:40">
      <c r="F38" s="252"/>
      <c r="H38" s="21" t="s">
        <v>163</v>
      </c>
    </row>
    <row r="39" spans="6:40">
      <c r="H39" s="77" t="s">
        <v>164</v>
      </c>
      <c r="I39" s="80">
        <f>IF(C7="Standard",Randbedingungen!E29,C7)</f>
        <v>2.9033E-2</v>
      </c>
      <c r="J39" s="81">
        <f t="shared" ref="J39:AN39" si="16">1/(1+$I$39)^J1</f>
        <v>1</v>
      </c>
      <c r="K39" s="81">
        <f t="shared" si="16"/>
        <v>0.97178613319495089</v>
      </c>
      <c r="L39" s="81">
        <f t="shared" si="16"/>
        <v>0.94436828866999489</v>
      </c>
      <c r="M39" s="81">
        <f t="shared" si="16"/>
        <v>0.91772400755854766</v>
      </c>
      <c r="N39" s="81">
        <f t="shared" si="16"/>
        <v>0.8918314646454949</v>
      </c>
      <c r="O39" s="81">
        <f t="shared" si="16"/>
        <v>0.86666945048943522</v>
      </c>
      <c r="P39" s="81">
        <f t="shared" si="16"/>
        <v>0.84221735404932108</v>
      </c>
      <c r="Q39" s="81">
        <f t="shared" si="16"/>
        <v>0.81845514580127288</v>
      </c>
      <c r="R39" s="81">
        <f t="shared" si="16"/>
        <v>0.79536336133172869</v>
      </c>
      <c r="S39" s="81">
        <f t="shared" si="16"/>
        <v>0.77292308539349919</v>
      </c>
      <c r="T39" s="81">
        <f t="shared" si="16"/>
        <v>0.75111593641165941</v>
      </c>
      <c r="U39" s="81">
        <f t="shared" si="16"/>
        <v>0.72992405142659122</v>
      </c>
      <c r="V39" s="81">
        <f t="shared" si="16"/>
        <v>0.70933007146183968</v>
      </c>
      <c r="W39" s="81">
        <f t="shared" si="16"/>
        <v>0.68931712730479944</v>
      </c>
      <c r="X39" s="81">
        <f t="shared" si="16"/>
        <v>0.66986882568858264</v>
      </c>
      <c r="Y39" s="81">
        <f t="shared" si="16"/>
        <v>0.65096923586375044</v>
      </c>
      <c r="Z39" s="81">
        <f t="shared" si="16"/>
        <v>0.63260287654890601</v>
      </c>
      <c r="AA39" s="81">
        <f t="shared" si="16"/>
        <v>0.61475470324946424</v>
      </c>
      <c r="AB39" s="81">
        <f t="shared" si="16"/>
        <v>0.59741009593420646</v>
      </c>
      <c r="AC39" s="81">
        <f t="shared" si="16"/>
        <v>0.5805548470595272</v>
      </c>
      <c r="AD39" s="81">
        <f t="shared" si="16"/>
        <v>0.56417514993156404</v>
      </c>
      <c r="AE39" s="81">
        <f t="shared" si="16"/>
        <v>0.5482575873966764</v>
      </c>
      <c r="AF39" s="81">
        <f t="shared" si="16"/>
        <v>0.53278912085100893</v>
      </c>
      <c r="AG39" s="81">
        <f t="shared" si="16"/>
        <v>0.51775707956013939</v>
      </c>
      <c r="AH39" s="81">
        <f t="shared" si="16"/>
        <v>0.50314915028005847</v>
      </c>
      <c r="AI39" s="81">
        <f t="shared" si="16"/>
        <v>0.48895336717098326</v>
      </c>
      <c r="AJ39" s="81">
        <f t="shared" si="16"/>
        <v>0.47515810199574093</v>
      </c>
      <c r="AK39" s="81">
        <f t="shared" si="16"/>
        <v>0.46175205459469321</v>
      </c>
      <c r="AL39" s="81">
        <f t="shared" si="16"/>
        <v>0.44872424362940083</v>
      </c>
      <c r="AM39" s="81">
        <f t="shared" si="16"/>
        <v>0.43606399758744457</v>
      </c>
      <c r="AN39" s="81">
        <f t="shared" si="16"/>
        <v>0.42376094604103498</v>
      </c>
    </row>
    <row r="40" spans="6:40">
      <c r="H40" s="77" t="s">
        <v>165</v>
      </c>
      <c r="I40" s="78"/>
      <c r="J40" s="79">
        <f>J10</f>
        <v>-330000</v>
      </c>
      <c r="K40" s="79">
        <f t="shared" ref="K40:AN40" si="17">K34-(K22+K18+K29+K10)</f>
        <v>30712.284000000014</v>
      </c>
      <c r="L40" s="79">
        <f t="shared" si="17"/>
        <v>31621.999161600019</v>
      </c>
      <c r="M40" s="79">
        <f t="shared" si="17"/>
        <v>32552.091942819854</v>
      </c>
      <c r="N40" s="79">
        <f t="shared" si="17"/>
        <v>33503.018802339036</v>
      </c>
      <c r="O40" s="79">
        <f t="shared" si="17"/>
        <v>-26966.972804712539</v>
      </c>
      <c r="P40" s="79">
        <f t="shared" si="17"/>
        <v>35469.251943398092</v>
      </c>
      <c r="Q40" s="79">
        <f t="shared" si="17"/>
        <v>36485.523186930193</v>
      </c>
      <c r="R40" s="79">
        <f t="shared" si="17"/>
        <v>37524.558906317427</v>
      </c>
      <c r="S40" s="79">
        <f t="shared" si="17"/>
        <v>38586.869025818945</v>
      </c>
      <c r="T40" s="79">
        <f t="shared" si="17"/>
        <v>-28966.048811441491</v>
      </c>
      <c r="U40" s="79">
        <f t="shared" si="17"/>
        <v>40783.409529577999</v>
      </c>
      <c r="V40" s="79">
        <f t="shared" si="17"/>
        <v>41918.717903040582</v>
      </c>
      <c r="W40" s="79">
        <f t="shared" si="17"/>
        <v>43079.457184068655</v>
      </c>
      <c r="X40" s="79">
        <f t="shared" si="17"/>
        <v>44266.197024991794</v>
      </c>
      <c r="Y40" s="79">
        <f t="shared" si="17"/>
        <v>-184556.87699790002</v>
      </c>
      <c r="Z40" s="79">
        <f t="shared" si="17"/>
        <v>46720.021082730673</v>
      </c>
      <c r="AA40" s="79">
        <f t="shared" si="17"/>
        <v>47988.309554983862</v>
      </c>
      <c r="AB40" s="79">
        <f t="shared" si="17"/>
        <v>49285.007689015532</v>
      </c>
      <c r="AC40" s="79">
        <f t="shared" si="17"/>
        <v>50610.751861249446</v>
      </c>
      <c r="AD40" s="79">
        <f t="shared" si="17"/>
        <v>-33694.090478171827</v>
      </c>
      <c r="AE40" s="79">
        <f t="shared" si="17"/>
        <v>53351.995419487299</v>
      </c>
      <c r="AF40" s="79">
        <f t="shared" si="17"/>
        <v>54768.840116883861</v>
      </c>
      <c r="AG40" s="79">
        <f t="shared" si="17"/>
        <v>56217.422135502071</v>
      </c>
      <c r="AH40" s="79">
        <f t="shared" si="17"/>
        <v>57698.452391337312</v>
      </c>
      <c r="AI40" s="79">
        <f t="shared" si="17"/>
        <v>-36481.122245382401</v>
      </c>
      <c r="AJ40" s="79">
        <f t="shared" si="17"/>
        <v>60760.78125794098</v>
      </c>
      <c r="AK40" s="79">
        <f t="shared" si="17"/>
        <v>62343.582758118922</v>
      </c>
      <c r="AL40" s="79">
        <f t="shared" si="17"/>
        <v>63961.839011900767</v>
      </c>
      <c r="AM40" s="79">
        <f t="shared" si="17"/>
        <v>65616.344205767382</v>
      </c>
      <c r="AN40" s="79">
        <f t="shared" si="17"/>
        <v>67307.910315976595</v>
      </c>
    </row>
    <row r="41" spans="6:40">
      <c r="H41" s="77" t="s">
        <v>166</v>
      </c>
      <c r="I41" s="78"/>
      <c r="J41" s="79">
        <f t="shared" ref="J41:AN41" si="18">J40*J39</f>
        <v>-330000</v>
      </c>
      <c r="K41" s="79">
        <f t="shared" si="18"/>
        <v>29845.771709945173</v>
      </c>
      <c r="L41" s="79">
        <f t="shared" si="18"/>
        <v>29862.813232564222</v>
      </c>
      <c r="M41" s="79">
        <f t="shared" si="18"/>
        <v>29873.836272178945</v>
      </c>
      <c r="N41" s="79">
        <f t="shared" si="18"/>
        <v>29879.046328535576</v>
      </c>
      <c r="O41" s="79">
        <f t="shared" si="18"/>
        <v>-23371.45150202376</v>
      </c>
      <c r="P41" s="79">
        <f t="shared" si="18"/>
        <v>29872.819521877482</v>
      </c>
      <c r="Q41" s="79">
        <f t="shared" si="18"/>
        <v>29861.764199594672</v>
      </c>
      <c r="R41" s="79">
        <f t="shared" si="18"/>
        <v>29845.659304219087</v>
      </c>
      <c r="S41" s="79">
        <f t="shared" si="18"/>
        <v>29824.681863110825</v>
      </c>
      <c r="T41" s="79">
        <f t="shared" si="18"/>
        <v>-21756.86087715171</v>
      </c>
      <c r="U41" s="79">
        <f t="shared" si="18"/>
        <v>29768.791514819422</v>
      </c>
      <c r="V41" s="79">
        <f t="shared" si="18"/>
        <v>29734.207165752476</v>
      </c>
      <c r="W41" s="79">
        <f t="shared" si="18"/>
        <v>29695.407671972309</v>
      </c>
      <c r="X41" s="79">
        <f t="shared" si="18"/>
        <v>29652.545418830683</v>
      </c>
      <c r="Y41" s="79">
        <f t="shared" si="18"/>
        <v>-120140.84919272315</v>
      </c>
      <c r="Z41" s="79">
        <f t="shared" si="18"/>
        <v>29555.219729360957</v>
      </c>
      <c r="AA41" s="79">
        <f t="shared" si="18"/>
        <v>29501.038999917535</v>
      </c>
      <c r="AB41" s="79">
        <f t="shared" si="18"/>
        <v>29443.361171612873</v>
      </c>
      <c r="AC41" s="79">
        <f t="shared" si="18"/>
        <v>29382.317306375353</v>
      </c>
      <c r="AD41" s="79">
        <f t="shared" si="18"/>
        <v>-19009.368547330276</v>
      </c>
      <c r="AE41" s="79">
        <f t="shared" si="18"/>
        <v>29250.636291486637</v>
      </c>
      <c r="AF41" s="79">
        <f t="shared" si="18"/>
        <v>29180.242175904023</v>
      </c>
      <c r="AG41" s="79">
        <f t="shared" si="18"/>
        <v>29106.968305277085</v>
      </c>
      <c r="AH41" s="79">
        <f t="shared" si="18"/>
        <v>29030.927293175777</v>
      </c>
      <c r="AI41" s="79">
        <f t="shared" si="18"/>
        <v>-17837.567560055988</v>
      </c>
      <c r="AJ41" s="79">
        <f t="shared" si="18"/>
        <v>28870.977498301625</v>
      </c>
      <c r="AK41" s="79">
        <f t="shared" si="18"/>
        <v>28787.277429355701</v>
      </c>
      <c r="AL41" s="79">
        <f t="shared" si="18"/>
        <v>28701.227831760676</v>
      </c>
      <c r="AM41" s="79">
        <f t="shared" si="18"/>
        <v>28612.925361440681</v>
      </c>
      <c r="AN41" s="79">
        <f t="shared" si="18"/>
        <v>28522.463751543379</v>
      </c>
    </row>
    <row r="42" spans="6:40">
      <c r="H42" s="77" t="s">
        <v>215</v>
      </c>
      <c r="I42" s="78"/>
      <c r="J42" s="79">
        <f>J41</f>
        <v>-330000</v>
      </c>
      <c r="K42" s="79">
        <f>J42+K41</f>
        <v>-300154.22829005483</v>
      </c>
      <c r="L42" s="79">
        <f t="shared" ref="L42:AN42" si="19">K42+L41</f>
        <v>-270291.41505749058</v>
      </c>
      <c r="M42" s="79">
        <f t="shared" si="19"/>
        <v>-240417.57878531163</v>
      </c>
      <c r="N42" s="79">
        <f t="shared" si="19"/>
        <v>-210538.53245677607</v>
      </c>
      <c r="O42" s="79">
        <f t="shared" si="19"/>
        <v>-233909.98395879983</v>
      </c>
      <c r="P42" s="79">
        <f t="shared" si="19"/>
        <v>-204037.16443692235</v>
      </c>
      <c r="Q42" s="79">
        <f t="shared" si="19"/>
        <v>-174175.40023732767</v>
      </c>
      <c r="R42" s="79">
        <f t="shared" si="19"/>
        <v>-144329.74093310858</v>
      </c>
      <c r="S42" s="79">
        <f t="shared" si="19"/>
        <v>-114505.05906999775</v>
      </c>
      <c r="T42" s="79">
        <f t="shared" si="19"/>
        <v>-136261.91994714946</v>
      </c>
      <c r="U42" s="79">
        <f t="shared" si="19"/>
        <v>-106493.12843233004</v>
      </c>
      <c r="V42" s="79">
        <f t="shared" si="19"/>
        <v>-76758.921266577556</v>
      </c>
      <c r="W42" s="79">
        <f t="shared" si="19"/>
        <v>-47063.513594605247</v>
      </c>
      <c r="X42" s="79">
        <f t="shared" si="19"/>
        <v>-17410.968175774564</v>
      </c>
      <c r="Y42" s="79">
        <f t="shared" si="19"/>
        <v>-137551.81736849772</v>
      </c>
      <c r="Z42" s="79">
        <f t="shared" si="19"/>
        <v>-107996.59763913677</v>
      </c>
      <c r="AA42" s="79">
        <f t="shared" si="19"/>
        <v>-78495.558639219234</v>
      </c>
      <c r="AB42" s="79">
        <f t="shared" si="19"/>
        <v>-49052.197467606362</v>
      </c>
      <c r="AC42" s="79">
        <f t="shared" si="19"/>
        <v>-19669.880161231009</v>
      </c>
      <c r="AD42" s="79">
        <f t="shared" si="19"/>
        <v>-38679.248708561281</v>
      </c>
      <c r="AE42" s="79">
        <f t="shared" si="19"/>
        <v>-9428.6124170746443</v>
      </c>
      <c r="AF42" s="79">
        <f t="shared" si="19"/>
        <v>19751.629758829378</v>
      </c>
      <c r="AG42" s="79">
        <f t="shared" si="19"/>
        <v>48858.598064106467</v>
      </c>
      <c r="AH42" s="79">
        <f t="shared" si="19"/>
        <v>77889.52535728224</v>
      </c>
      <c r="AI42" s="79">
        <f t="shared" si="19"/>
        <v>60051.957797226249</v>
      </c>
      <c r="AJ42" s="79">
        <f t="shared" si="19"/>
        <v>88922.935295527874</v>
      </c>
      <c r="AK42" s="79">
        <f t="shared" si="19"/>
        <v>117710.21272488357</v>
      </c>
      <c r="AL42" s="79">
        <f t="shared" si="19"/>
        <v>146411.44055664426</v>
      </c>
      <c r="AM42" s="79">
        <f t="shared" si="19"/>
        <v>175024.36591808495</v>
      </c>
      <c r="AN42" s="79">
        <f t="shared" si="19"/>
        <v>203546.82966962832</v>
      </c>
    </row>
    <row r="43" spans="6:40">
      <c r="H43" s="248" t="s">
        <v>214</v>
      </c>
      <c r="J43" s="249"/>
      <c r="K43" s="249">
        <f>IF(K42&lt;=0,0,1)</f>
        <v>0</v>
      </c>
      <c r="L43" s="249">
        <f t="shared" ref="L43:AN43" si="20">IF(L42&lt;=0,0,1)</f>
        <v>0</v>
      </c>
      <c r="M43" s="249">
        <f t="shared" si="20"/>
        <v>0</v>
      </c>
      <c r="N43" s="249">
        <f t="shared" si="20"/>
        <v>0</v>
      </c>
      <c r="O43" s="249">
        <f t="shared" si="20"/>
        <v>0</v>
      </c>
      <c r="P43" s="249">
        <f t="shared" si="20"/>
        <v>0</v>
      </c>
      <c r="Q43" s="249">
        <f t="shared" si="20"/>
        <v>0</v>
      </c>
      <c r="R43" s="249">
        <f t="shared" si="20"/>
        <v>0</v>
      </c>
      <c r="S43" s="249">
        <f t="shared" si="20"/>
        <v>0</v>
      </c>
      <c r="T43" s="249">
        <f t="shared" si="20"/>
        <v>0</v>
      </c>
      <c r="U43" s="249">
        <f t="shared" si="20"/>
        <v>0</v>
      </c>
      <c r="V43" s="249">
        <f t="shared" si="20"/>
        <v>0</v>
      </c>
      <c r="W43" s="249">
        <f t="shared" si="20"/>
        <v>0</v>
      </c>
      <c r="X43" s="249">
        <f t="shared" si="20"/>
        <v>0</v>
      </c>
      <c r="Y43" s="249">
        <f t="shared" si="20"/>
        <v>0</v>
      </c>
      <c r="Z43" s="249">
        <f t="shared" si="20"/>
        <v>0</v>
      </c>
      <c r="AA43" s="249">
        <f t="shared" si="20"/>
        <v>0</v>
      </c>
      <c r="AB43" s="249">
        <f t="shared" si="20"/>
        <v>0</v>
      </c>
      <c r="AC43" s="249">
        <f t="shared" si="20"/>
        <v>0</v>
      </c>
      <c r="AD43" s="249">
        <f t="shared" si="20"/>
        <v>0</v>
      </c>
      <c r="AE43" s="249">
        <f t="shared" si="20"/>
        <v>0</v>
      </c>
      <c r="AF43" s="249">
        <f t="shared" si="20"/>
        <v>1</v>
      </c>
      <c r="AG43" s="249">
        <f t="shared" si="20"/>
        <v>1</v>
      </c>
      <c r="AH43" s="249">
        <f t="shared" si="20"/>
        <v>1</v>
      </c>
      <c r="AI43" s="249">
        <f t="shared" si="20"/>
        <v>1</v>
      </c>
      <c r="AJ43" s="249">
        <f t="shared" si="20"/>
        <v>1</v>
      </c>
      <c r="AK43" s="249">
        <f t="shared" si="20"/>
        <v>1</v>
      </c>
      <c r="AL43" s="249">
        <f t="shared" si="20"/>
        <v>1</v>
      </c>
      <c r="AM43" s="249">
        <f t="shared" si="20"/>
        <v>1</v>
      </c>
      <c r="AN43" s="249">
        <f t="shared" si="20"/>
        <v>1</v>
      </c>
    </row>
    <row r="44" spans="6:40" ht="15.75" thickBot="1">
      <c r="I44" s="30"/>
      <c r="J44" s="21" t="s">
        <v>167</v>
      </c>
    </row>
    <row r="45" spans="6:40">
      <c r="H45" s="75" t="s">
        <v>168</v>
      </c>
      <c r="I45" s="73">
        <f>ROUND(SUM(J41:AN41),0)</f>
        <v>203547</v>
      </c>
      <c r="J45" s="450" t="str">
        <f>IF(I45=I46,"Erfolgreich","Fehlerhaft")</f>
        <v>Erfolgreich</v>
      </c>
    </row>
    <row r="46" spans="6:40" ht="15.75" thickBot="1">
      <c r="H46" s="76" t="s">
        <v>169</v>
      </c>
      <c r="I46" s="74">
        <f>ROUND(NPV(I39,K40:AN40)+J40,0)</f>
        <v>203547</v>
      </c>
      <c r="J46" s="451"/>
    </row>
    <row r="47" spans="6:40" ht="15.75" thickBot="1"/>
    <row r="48" spans="6:40" ht="15.75" thickBot="1">
      <c r="H48" s="228" t="s">
        <v>170</v>
      </c>
      <c r="I48" s="229">
        <f>(I39*(1+I39)^30)/((1+I39)^30-1)</f>
        <v>5.0383603472435742E-2</v>
      </c>
      <c r="J48" s="230" t="s">
        <v>167</v>
      </c>
    </row>
    <row r="49" spans="8:15">
      <c r="H49" s="75" t="s">
        <v>171</v>
      </c>
      <c r="I49" s="73">
        <f>ROUND(I45*I48,0)</f>
        <v>10255</v>
      </c>
      <c r="J49" s="450" t="str">
        <f>IF(I49=I50,"Erfolgreich","Fehlerhaft")</f>
        <v>Erfolgreich</v>
      </c>
      <c r="M49" s="31"/>
      <c r="N49" s="32"/>
      <c r="O49" s="33"/>
    </row>
    <row r="50" spans="8:15" ht="15.75" thickBot="1">
      <c r="H50" s="76" t="s">
        <v>172</v>
      </c>
      <c r="I50" s="74">
        <f>ROUND(PMT(I39,Randbedingungen!E5,-I46),0)</f>
        <v>10255</v>
      </c>
      <c r="J50" s="451"/>
      <c r="M50" s="31"/>
      <c r="N50" s="32"/>
      <c r="O50" s="33"/>
    </row>
    <row r="51" spans="8:15">
      <c r="M51" s="31"/>
      <c r="N51" s="32"/>
      <c r="O51" s="33"/>
    </row>
    <row r="52" spans="8:15">
      <c r="M52" s="31"/>
      <c r="N52" s="32"/>
      <c r="O52" s="33"/>
    </row>
    <row r="53" spans="8:15">
      <c r="M53" s="31"/>
      <c r="N53" s="32"/>
    </row>
    <row r="54" spans="8:15" ht="15.75" thickBot="1">
      <c r="I54" s="183" t="s">
        <v>202</v>
      </c>
      <c r="J54" s="69" t="s">
        <v>201</v>
      </c>
    </row>
    <row r="55" spans="8:15">
      <c r="H55" s="218" t="s">
        <v>125</v>
      </c>
      <c r="I55" s="275">
        <f>ROUND(NPV(I39,K10:AN10),0)*(-1)+J10</f>
        <v>-679670</v>
      </c>
      <c r="J55" s="219">
        <f>I55*$I$48</f>
        <v>-34244.223772110403</v>
      </c>
    </row>
    <row r="56" spans="8:15">
      <c r="H56" s="220" t="s">
        <v>1</v>
      </c>
      <c r="I56" s="274">
        <f>ROUND(NPV(I39,K18:AN18),0)*(-1)</f>
        <v>-1709092</v>
      </c>
      <c r="J56" s="221">
        <f t="shared" ref="J56:J59" si="21">I56*$I$48</f>
        <v>-86110.213625912147</v>
      </c>
    </row>
    <row r="57" spans="8:15">
      <c r="H57" s="220" t="s">
        <v>26</v>
      </c>
      <c r="I57" s="274">
        <f>ROUND(NPV(I39,K22:AN22),0)*(-1)</f>
        <v>-684969</v>
      </c>
      <c r="J57" s="221">
        <f t="shared" si="21"/>
        <v>-34511.206486910836</v>
      </c>
    </row>
    <row r="58" spans="8:15">
      <c r="H58" s="220" t="s">
        <v>69</v>
      </c>
      <c r="I58" s="274">
        <f>ROUND(NPV(I39,K29:AN29),0)*(-1)</f>
        <v>-1664283</v>
      </c>
      <c r="J58" s="221">
        <f t="shared" si="21"/>
        <v>-83852.574737915769</v>
      </c>
    </row>
    <row r="59" spans="8:15" ht="15.75" thickBot="1">
      <c r="H59" s="222" t="s">
        <v>139</v>
      </c>
      <c r="I59" s="276">
        <f>ROUND(NPV(I39,K34:AN34),0)</f>
        <v>4941560</v>
      </c>
      <c r="J59" s="223">
        <f t="shared" si="21"/>
        <v>248973.59957524957</v>
      </c>
    </row>
    <row r="60" spans="8:15" ht="15.75" thickBot="1"/>
    <row r="61" spans="8:15" ht="15.75" thickBot="1">
      <c r="H61" s="251" t="s">
        <v>134</v>
      </c>
      <c r="I61" s="277">
        <f>I59+I58+I57+I56+I55</f>
        <v>203546</v>
      </c>
      <c r="J61" s="225">
        <f>J59+J58+J57+J56+J55</f>
        <v>10255.380952400403</v>
      </c>
    </row>
    <row r="62" spans="8:15" ht="15.75" thickBot="1"/>
    <row r="63" spans="8:15" ht="15.75" thickBot="1">
      <c r="H63" s="133" t="s">
        <v>216</v>
      </c>
      <c r="I63" s="311">
        <f>IF(COUNTIF(Sensitivitätsanalyse!J43:AN43,0)&gt;29,"Keine Amortisationszeit in 30",COUNTIF(Sensitivitätsanalyse!J43:AN43,0)+1)</f>
        <v>22</v>
      </c>
      <c r="J63" s="134" t="s">
        <v>217</v>
      </c>
    </row>
  </sheetData>
  <sheetProtection algorithmName="SHA-512" hashValue="m2DpMERF27C8KfTbBar1JMBVDJXUJ6SjfR040wsYQQeeenYp1TqW/hBWH0+L9wm9OAPVScUQOIMJlcWyGcDDVQ==" saltValue="+gANanvirxFqbqjMFEXqFw==" spinCount="100000" sheet="1" objects="1" scenarios="1"/>
  <mergeCells count="2">
    <mergeCell ref="J45:J46"/>
    <mergeCell ref="J49:J50"/>
  </mergeCells>
  <conditionalFormatting sqref="J45">
    <cfRule type="containsText" dxfId="17" priority="7" operator="containsText" text="Fehlerhaft">
      <formula>NOT(ISERROR(SEARCH("Fehlerhaft",J45)))</formula>
    </cfRule>
    <cfRule type="containsText" dxfId="16" priority="8" operator="containsText" text="Erfolgreich">
      <formula>NOT(ISERROR(SEARCH("Erfolgreich",J45)))</formula>
    </cfRule>
  </conditionalFormatting>
  <conditionalFormatting sqref="J49:J50">
    <cfRule type="containsText" dxfId="15" priority="5" operator="containsText" text="Fehlerhaft">
      <formula>NOT(ISERROR(SEARCH("Fehlerhaft",J49)))</formula>
    </cfRule>
    <cfRule type="containsText" dxfId="14" priority="6" operator="containsText" text="Erfolgreich">
      <formula>NOT(ISERROR(SEARCH("Erfolgreich",J49)))</formula>
    </cfRule>
  </conditionalFormatting>
  <conditionalFormatting sqref="E30 E29 E31 F31 F30">
    <cfRule type="cellIs" dxfId="13" priority="3" operator="greaterThan">
      <formula>0</formula>
    </cfRule>
  </conditionalFormatting>
  <conditionalFormatting sqref="E31 F31 F30 F29 E30 E29">
    <cfRule type="cellIs" dxfId="12" priority="1" operator="lessThan">
      <formula>0</formula>
    </cfRule>
  </conditionalFormatting>
  <dataValidations count="5">
    <dataValidation type="list" allowBlank="1" showInputMessage="1" showErrorMessage="1" sqref="C3" xr:uid="{7E8B48EA-4A70-43BA-95D2-85FD6DC79741}">
      <formula1>"Neutral,Best Case,Worst Case"</formula1>
    </dataValidation>
    <dataValidation type="list" allowBlank="1" showInputMessage="1" showErrorMessage="1" sqref="C7" xr:uid="{33639F8A-DF57-4EC4-918F-A29FBD81DBD8}">
      <formula1>"Standard,2%,3%,4%,5%,6%"</formula1>
    </dataValidation>
    <dataValidation type="list" allowBlank="1" showInputMessage="1" showErrorMessage="1" sqref="C5" xr:uid="{8BB83997-7078-4D3C-95C1-4AAEFC328791}">
      <formula1>"Allgemein,Spezifisch"</formula1>
    </dataValidation>
    <dataValidation type="list" allowBlank="1" showInputMessage="1" showErrorMessage="1" sqref="C12:C14 C16 C18" xr:uid="{3AC173A6-E909-4E51-B907-3A919C9FB485}">
      <formula1>"neutral,effizienter,ineffizienter"</formula1>
    </dataValidation>
    <dataValidation type="list" allowBlank="1" showInputMessage="1" showErrorMessage="1" sqref="C21" xr:uid="{541295B6-862D-478B-9726-2E8E9AB50002}">
      <formula1>"neutral,Gering,Hoch"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CF343-27CA-4C1A-8DC5-E8D4E74D88DC}">
  <sheetPr>
    <tabColor theme="4"/>
  </sheetPr>
  <dimension ref="B1:AH59"/>
  <sheetViews>
    <sheetView showGridLines="0" showOutlineSymbols="0" showWhiteSpace="0" topLeftCell="A22" zoomScale="85" zoomScaleNormal="85" zoomScaleSheetLayoutView="100" workbookViewId="0">
      <selection activeCell="A40" sqref="A40:XFD41"/>
    </sheetView>
  </sheetViews>
  <sheetFormatPr baseColWidth="10" defaultColWidth="11.42578125" defaultRowHeight="15"/>
  <cols>
    <col min="1" max="1" width="7.5703125" customWidth="1"/>
    <col min="2" max="2" width="20.42578125" customWidth="1"/>
    <col min="3" max="3" width="15.140625" customWidth="1"/>
    <col min="4" max="4" width="17" customWidth="1"/>
    <col min="5" max="34" width="15.7109375" customWidth="1"/>
  </cols>
  <sheetData>
    <row r="1" spans="2:34" s="23" customFormat="1" ht="31.5" customHeight="1">
      <c r="B1" s="35" t="s">
        <v>154</v>
      </c>
      <c r="C1" s="35" t="s">
        <v>150</v>
      </c>
      <c r="D1" s="35">
        <v>0</v>
      </c>
      <c r="E1" s="35">
        <v>1</v>
      </c>
      <c r="F1" s="35">
        <v>2</v>
      </c>
      <c r="G1" s="35">
        <v>3</v>
      </c>
      <c r="H1" s="35">
        <v>4</v>
      </c>
      <c r="I1" s="35">
        <v>5</v>
      </c>
      <c r="J1" s="35">
        <v>6</v>
      </c>
      <c r="K1" s="35">
        <v>7</v>
      </c>
      <c r="L1" s="35">
        <v>8</v>
      </c>
      <c r="M1" s="35">
        <v>9</v>
      </c>
      <c r="N1" s="35">
        <v>10</v>
      </c>
      <c r="O1" s="35">
        <v>11</v>
      </c>
      <c r="P1" s="35">
        <v>12</v>
      </c>
      <c r="Q1" s="35">
        <v>13</v>
      </c>
      <c r="R1" s="35">
        <v>14</v>
      </c>
      <c r="S1" s="35">
        <v>15</v>
      </c>
      <c r="T1" s="35">
        <v>16</v>
      </c>
      <c r="U1" s="35">
        <v>17</v>
      </c>
      <c r="V1" s="35">
        <v>18</v>
      </c>
      <c r="W1" s="35">
        <v>19</v>
      </c>
      <c r="X1" s="35">
        <v>20</v>
      </c>
      <c r="Y1" s="35">
        <v>21</v>
      </c>
      <c r="Z1" s="35">
        <v>22</v>
      </c>
      <c r="AA1" s="35">
        <v>23</v>
      </c>
      <c r="AB1" s="35">
        <v>24</v>
      </c>
      <c r="AC1" s="35">
        <v>25</v>
      </c>
      <c r="AD1" s="35">
        <v>26</v>
      </c>
      <c r="AE1" s="35">
        <v>27</v>
      </c>
      <c r="AF1" s="35">
        <v>28</v>
      </c>
      <c r="AG1" s="35">
        <v>29</v>
      </c>
      <c r="AH1" s="35">
        <v>30</v>
      </c>
    </row>
    <row r="3" spans="2:34" ht="15.75" thickBot="1"/>
    <row r="4" spans="2:34">
      <c r="B4" s="36" t="s">
        <v>126</v>
      </c>
      <c r="C4" s="6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8"/>
    </row>
    <row r="5" spans="2:34">
      <c r="B5" s="39" t="s">
        <v>155</v>
      </c>
      <c r="C5" s="67">
        <f>Zusammenfassung!E4</f>
        <v>0</v>
      </c>
      <c r="D5" s="14">
        <f>C5*-1</f>
        <v>0</v>
      </c>
      <c r="E5" s="209">
        <f>IF(AND(MOD(E1,Randbedingungen!$E$11)=0,E1&lt;Randbedingungen!$E$5),$D$5*Randbedingungen!$E$18,0)</f>
        <v>0</v>
      </c>
      <c r="F5" s="209">
        <f>IF(AND(MOD(F1,Randbedingungen!$E$11)=0,F1&lt;Randbedingungen!$E$5),$D$5*Randbedingungen!$E$18,0)</f>
        <v>0</v>
      </c>
      <c r="G5" s="209">
        <f>IF(AND(MOD(G1,Randbedingungen!$E$11)=0,G1&lt;Randbedingungen!$E$5),$D$5*Randbedingungen!$E$18,0)</f>
        <v>0</v>
      </c>
      <c r="H5" s="209">
        <f>IF(AND(MOD(H1,Randbedingungen!$E$11)=0,H1&lt;Randbedingungen!$E$5),$D$5*Randbedingungen!$E$18,0)</f>
        <v>0</v>
      </c>
      <c r="I5" s="209">
        <f>IF(AND(MOD(I1,Randbedingungen!$E$11)=0,I1&lt;Randbedingungen!$E$5),$D$5*Randbedingungen!$E$18,0)</f>
        <v>0</v>
      </c>
      <c r="J5" s="209">
        <f>IF(AND(MOD(J1,Randbedingungen!$E$11)=0,J1&lt;Randbedingungen!$E$5),$D$5*Randbedingungen!$E$18,0)</f>
        <v>0</v>
      </c>
      <c r="K5" s="209">
        <f>IF(AND(MOD(K1,Randbedingungen!$E$11)=0,K1&lt;Randbedingungen!$E$5),$D$5*Randbedingungen!$E$18,0)</f>
        <v>0</v>
      </c>
      <c r="L5" s="209">
        <f>IF(AND(MOD(L1,Randbedingungen!$E$11)=0,L1&lt;Randbedingungen!$E$5),$D$5*Randbedingungen!$E$18,0)</f>
        <v>0</v>
      </c>
      <c r="M5" s="209">
        <f>IF(AND(MOD(M1,Randbedingungen!$E$11)=0,M1&lt;Randbedingungen!$E$5),$D$5*Randbedingungen!$E$18,0)</f>
        <v>0</v>
      </c>
      <c r="N5" s="209">
        <f>IF(AND(MOD(N1,Randbedingungen!$E$11)=0,N1&lt;Randbedingungen!$E$5),$D$5*Randbedingungen!$E$18,0)</f>
        <v>0</v>
      </c>
      <c r="O5" s="209">
        <f>IF(AND(MOD(O1,Randbedingungen!$E$11)=0,O1&lt;Randbedingungen!$E$5),$D$5*Randbedingungen!$E$18,0)</f>
        <v>0</v>
      </c>
      <c r="P5" s="209">
        <f>IF(AND(MOD(P1,Randbedingungen!$E$11)=0,P1&lt;Randbedingungen!$E$5),$D$5*Randbedingungen!$E$18,0)</f>
        <v>0</v>
      </c>
      <c r="Q5" s="209">
        <f>IF(AND(MOD(Q1,Randbedingungen!$E$11)=0,Q1&lt;Randbedingungen!$E$5),$D$5*Randbedingungen!$E$18,0)</f>
        <v>0</v>
      </c>
      <c r="R5" s="209">
        <f>IF(AND(MOD(R1,Randbedingungen!$E$11)=0,R1&lt;Randbedingungen!$E$5),$D$5*Randbedingungen!$E$18,0)</f>
        <v>0</v>
      </c>
      <c r="S5" s="209">
        <f>IF(AND(MOD(S1,Randbedingungen!$E$11)=0,S1&lt;Randbedingungen!$E$5),$D$5*Randbedingungen!$E$18,0)</f>
        <v>0</v>
      </c>
      <c r="T5" s="209">
        <f>IF(AND(MOD(T1,Randbedingungen!$E$11)=0,T1&lt;Randbedingungen!$E$5),$D$5*Randbedingungen!$E$18,0)</f>
        <v>0</v>
      </c>
      <c r="U5" s="209">
        <f>IF(AND(MOD(U1,Randbedingungen!$E$11)=0,U1&lt;Randbedingungen!$E$5),$D$5*Randbedingungen!$E$18,0)</f>
        <v>0</v>
      </c>
      <c r="V5" s="209">
        <f>IF(AND(MOD(V1,Randbedingungen!$E$11)=0,V1&lt;Randbedingungen!$E$5),$D$5*Randbedingungen!$E$18,0)</f>
        <v>0</v>
      </c>
      <c r="W5" s="209">
        <f>IF(AND(MOD(W1,Randbedingungen!$E$11)=0,W1&lt;Randbedingungen!$E$5),$D$5*Randbedingungen!$E$18,0)</f>
        <v>0</v>
      </c>
      <c r="X5" s="209">
        <f>IF(AND(MOD(X1,Randbedingungen!$E$11)=0,X1&lt;Randbedingungen!$E$5),$D$5*Randbedingungen!$E$18,0)</f>
        <v>0</v>
      </c>
      <c r="Y5" s="209">
        <f>IF(AND(MOD(Y1,Randbedingungen!$E$11)=0,Y1&lt;Randbedingungen!$E$5),$D$5*Randbedingungen!$E$18,0)</f>
        <v>0</v>
      </c>
      <c r="Z5" s="209">
        <f>IF(AND(MOD(Z1,Randbedingungen!$E$11)=0,Z1&lt;Randbedingungen!$E$5),$D$5*Randbedingungen!$E$18,0)</f>
        <v>0</v>
      </c>
      <c r="AA5" s="209">
        <f>IF(AND(MOD(AA1,Randbedingungen!$E$11)=0,AA1&lt;Randbedingungen!$E$5),$D$5*Randbedingungen!$E$18,0)</f>
        <v>0</v>
      </c>
      <c r="AB5" s="209">
        <f>IF(AND(MOD(AB1,Randbedingungen!$E$11)=0,AB1&lt;Randbedingungen!$E$5),$D$5*Randbedingungen!$E$18,0)</f>
        <v>0</v>
      </c>
      <c r="AC5" s="209">
        <f>IF(AND(MOD(AC1,Randbedingungen!$E$11)=0,AC1&lt;Randbedingungen!$E$5),$D$5*Randbedingungen!$E$18,0)</f>
        <v>0</v>
      </c>
      <c r="AD5" s="209">
        <f>IF(AND(MOD(AD1,Randbedingungen!$E$11)=0,AD1&lt;Randbedingungen!$E$5),$D$5*Randbedingungen!$E$18,0)</f>
        <v>0</v>
      </c>
      <c r="AE5" s="209">
        <f>IF(AND(MOD(AE1,Randbedingungen!$E$11)=0,AE1&lt;Randbedingungen!$E$5),$D$5*Randbedingungen!$E$18,0)</f>
        <v>0</v>
      </c>
      <c r="AF5" s="209">
        <f>IF(AND(MOD(AF1,Randbedingungen!$E$11)=0,AF1&lt;Randbedingungen!$E$5),$D$5*Randbedingungen!$E$18,0)</f>
        <v>0</v>
      </c>
      <c r="AG5" s="209">
        <f>IF(AND(MOD(AG1,Randbedingungen!$E$11)=0,AG1&lt;Randbedingungen!$E$5),$D$5*Randbedingungen!$E$18,0)</f>
        <v>0</v>
      </c>
      <c r="AH5" s="12">
        <f>IF(AND(MOD(AH1,Randbedingungen!$E$11)=0,AH1&lt;Randbedingungen!$E$5),$D$5*Randbedingungen!$E$18,0)</f>
        <v>0</v>
      </c>
    </row>
    <row r="6" spans="2:34">
      <c r="B6" s="42" t="s">
        <v>156</v>
      </c>
      <c r="C6" s="68"/>
      <c r="AH6" s="5"/>
    </row>
    <row r="7" spans="2:34">
      <c r="B7" s="40" t="s">
        <v>155</v>
      </c>
      <c r="C7" s="67">
        <f>Zusammenfassung!E5</f>
        <v>275000</v>
      </c>
      <c r="D7" s="14">
        <f>C7*-1</f>
        <v>-275000</v>
      </c>
      <c r="E7" s="209">
        <f>IF(AND(MOD(E1,Randbedingungen!$E$12)=0,E1&lt;Randbedingungen!$E$5),$D$7*Randbedingungen!$E$19,0)*(1+Randbedingungen!$E$32)^E1</f>
        <v>0</v>
      </c>
      <c r="F7" s="209">
        <f>IF(AND(MOD(F1,Randbedingungen!$E$12)=0,F1&lt;Randbedingungen!$E$5),$D$7*Randbedingungen!$E$19,0)*(1+Randbedingungen!$E$32)^F1</f>
        <v>0</v>
      </c>
      <c r="G7" s="209">
        <f>IF(AND(MOD(G1,Randbedingungen!$E$12)=0,G1&lt;Randbedingungen!$E$5),$D$7*Randbedingungen!$E$19,0)*(1+Randbedingungen!$E$32)^G1</f>
        <v>0</v>
      </c>
      <c r="H7" s="209">
        <f>IF(AND(MOD(H1,Randbedingungen!$E$12)=0,H1&lt;Randbedingungen!$E$5),$D$7*Randbedingungen!$E$19,0)*(1+Randbedingungen!$E$32)^H1</f>
        <v>0</v>
      </c>
      <c r="I7" s="209">
        <f>IF(AND(MOD(I1,Randbedingungen!$E$12)=0,I1&lt;Randbedingungen!$E$5),$D$7*Randbedingungen!$E$19,0)*(1+Randbedingungen!$E$32)^I1</f>
        <v>0</v>
      </c>
      <c r="J7" s="209">
        <f>IF(AND(MOD(J1,Randbedingungen!$E$12)=0,J1&lt;Randbedingungen!$E$5),$D$7*Randbedingungen!$E$19,0)*(1+Randbedingungen!$E$32)^J1</f>
        <v>0</v>
      </c>
      <c r="K7" s="209">
        <f>IF(AND(MOD(K1,Randbedingungen!$E$12)=0,K1&lt;Randbedingungen!$E$5),$D$7*Randbedingungen!$E$19,0)*(1+Randbedingungen!$E$32)^K1</f>
        <v>0</v>
      </c>
      <c r="L7" s="209">
        <f>IF(AND(MOD(L1,Randbedingungen!$E$12)=0,L1&lt;Randbedingungen!$E$5),$D$7*Randbedingungen!$E$19,0)*(1+Randbedingungen!$E$32)^L1</f>
        <v>0</v>
      </c>
      <c r="M7" s="209">
        <f>IF(AND(MOD(M1,Randbedingungen!$E$12)=0,M1&lt;Randbedingungen!$E$5),$D$7*Randbedingungen!$E$19,0)*(1+Randbedingungen!$E$32)^M1</f>
        <v>0</v>
      </c>
      <c r="N7" s="209">
        <f>IF(AND(MOD(N1,Randbedingungen!$E$12)=0,N1&lt;Randbedingungen!$E$5),$D$7*Randbedingungen!$E$19,0)*(1+Randbedingungen!$E$32)^N1</f>
        <v>0</v>
      </c>
      <c r="O7" s="209">
        <f>IF(AND(MOD(O1,Randbedingungen!$E$12)=0,O1&lt;Randbedingungen!$E$5),$D$7*Randbedingungen!$E$19,0)*(1+Randbedingungen!$E$32)^O1</f>
        <v>0</v>
      </c>
      <c r="P7" s="209">
        <f>IF(AND(MOD(P1,Randbedingungen!$E$12)=0,P1&lt;Randbedingungen!$E$5),$D$7*Randbedingungen!$E$19,0)*(1+Randbedingungen!$E$32)^P1</f>
        <v>0</v>
      </c>
      <c r="Q7" s="209">
        <f>IF(AND(MOD(Q1,Randbedingungen!$E$12)=0,Q1&lt;Randbedingungen!$E$5),$D$7*Randbedingungen!$E$19,0)*(1+Randbedingungen!$E$32)^Q1</f>
        <v>0</v>
      </c>
      <c r="R7" s="209">
        <f>IF(AND(MOD(R1,Randbedingungen!$E$12)=0,R1&lt;Randbedingungen!$E$5),$D$7*Randbedingungen!$E$19,0)*(1+Randbedingungen!$E$32)^R1</f>
        <v>0</v>
      </c>
      <c r="S7" s="209">
        <f>IF(AND(MOD(S1,Randbedingungen!$E$12)=0,S1&lt;Randbedingungen!$E$5),$D$7*Randbedingungen!$E$19,0)*(1+Randbedingungen!$E$32)^S1</f>
        <v>-153357.59789083441</v>
      </c>
      <c r="T7" s="209">
        <f>IF(AND(MOD(T1,Randbedingungen!$E$12)=0,T1&lt;Randbedingungen!$E$5),$D$7*Randbedingungen!$E$19,0)*(1+Randbedingungen!$E$32)^T1</f>
        <v>0</v>
      </c>
      <c r="U7" s="209">
        <f>IF(AND(MOD(U1,Randbedingungen!$E$12)=0,U1&lt;Randbedingungen!$E$5),$D$7*Randbedingungen!$E$19,0)*(1+Randbedingungen!$E$32)^U1</f>
        <v>0</v>
      </c>
      <c r="V7" s="209">
        <f>IF(AND(MOD(V1,Randbedingungen!$E$12)=0,V1&lt;Randbedingungen!$E$5),$D$7*Randbedingungen!$E$19,0)*(1+Randbedingungen!$E$32)^V1</f>
        <v>0</v>
      </c>
      <c r="W7" s="209">
        <f>IF(AND(MOD(W1,Randbedingungen!$E$12)=0,W1&lt;Randbedingungen!$E$5),$D$7*Randbedingungen!$E$19,0)*(1+Randbedingungen!$E$32)^W1</f>
        <v>0</v>
      </c>
      <c r="X7" s="209">
        <f>IF(AND(MOD(X1,Randbedingungen!$E$12)=0,X1&lt;Randbedingungen!$E$5),$D$7*Randbedingungen!$E$19,0)*(1+Randbedingungen!$E$32)^X1</f>
        <v>0</v>
      </c>
      <c r="Y7" s="209">
        <f>IF(AND(MOD(Y1,Randbedingungen!$E$12)=0,Y1&lt;Randbedingungen!$E$5),$D$7*Randbedingungen!$E$19,0)*(1+Randbedingungen!$E$32)^Y1</f>
        <v>0</v>
      </c>
      <c r="Z7" s="209">
        <f>IF(AND(MOD(Z1,Randbedingungen!$E$12)=0,Z1&lt;Randbedingungen!$E$5),$D$7*Randbedingungen!$E$19,0)*(1+Randbedingungen!$E$32)^Z1</f>
        <v>0</v>
      </c>
      <c r="AA7" s="209">
        <f>IF(AND(MOD(AA1,Randbedingungen!$E$12)=0,AA1&lt;Randbedingungen!$E$5),$D$7*Randbedingungen!$E$19,0)*(1+Randbedingungen!$E$32)^AA1</f>
        <v>0</v>
      </c>
      <c r="AB7" s="209">
        <f>IF(AND(MOD(AB1,Randbedingungen!$E$12)=0,AB1&lt;Randbedingungen!$E$5),$D$7*Randbedingungen!$E$19,0)*(1+Randbedingungen!$E$32)^AB1</f>
        <v>0</v>
      </c>
      <c r="AC7" s="209">
        <f>IF(AND(MOD(AC1,Randbedingungen!$E$12)=0,AC1&lt;Randbedingungen!$E$5),$D$7*Randbedingungen!$E$19,0)*(1+Randbedingungen!$E$32)^AC1</f>
        <v>0</v>
      </c>
      <c r="AD7" s="209">
        <f>IF(AND(MOD(AD1,Randbedingungen!$E$12)=0,AD1&lt;Randbedingungen!$E$5),$D$7*Randbedingungen!$E$19,0)*(1+Randbedingungen!$E$32)^AD1</f>
        <v>0</v>
      </c>
      <c r="AE7" s="209">
        <f>IF(AND(MOD(AE1,Randbedingungen!$E$12)=0,AE1&lt;Randbedingungen!$E$5),$D$7*Randbedingungen!$E$19,0)*(1+Randbedingungen!$E$32)^AE1</f>
        <v>0</v>
      </c>
      <c r="AF7" s="209">
        <f>IF(AND(MOD(AF1,Randbedingungen!$E$12)=0,AF1&lt;Randbedingungen!$E$5),$D$7*Randbedingungen!$E$19,0)*(1+Randbedingungen!$E$32)^AF1</f>
        <v>0</v>
      </c>
      <c r="AG7" s="209">
        <f>IF(AND(MOD(AG1,Randbedingungen!$E$12)=0,AG1&lt;Randbedingungen!$E$5),$D$7*Randbedingungen!$E$19,0)*(1+Randbedingungen!$E$32)^AG1</f>
        <v>0</v>
      </c>
      <c r="AH7" s="209">
        <f>IF(AND(MOD(AH1,Randbedingungen!$E$12)=0,AH1&lt;Randbedingungen!$E$5),$D$7*Randbedingungen!$E$19,0)*(1+Randbedingungen!$E$32)^AH1</f>
        <v>0</v>
      </c>
    </row>
    <row r="8" spans="2:34" s="142" customFormat="1">
      <c r="B8" s="148" t="s">
        <v>173</v>
      </c>
      <c r="C8" s="67"/>
      <c r="D8" s="1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41"/>
    </row>
    <row r="9" spans="2:34">
      <c r="B9" s="40" t="s">
        <v>155</v>
      </c>
      <c r="C9" s="67">
        <f>Zusammenfassung!E6</f>
        <v>55000</v>
      </c>
      <c r="D9" s="14">
        <f>C9*-1</f>
        <v>-55000</v>
      </c>
      <c r="E9" s="209">
        <f>IF(AND(MOD(E1,Randbedingungen!$E$13)=0,E1&lt;Randbedingungen!$E$5),$D$9*Randbedingungen!$E$20,0)*(1+Randbedingungen!$E$32)^E1</f>
        <v>0</v>
      </c>
      <c r="F9" s="209">
        <f>IF(AND(MOD(F1,Randbedingungen!$E$13)=0,F1&lt;Randbedingungen!$E$5),$D$9*Randbedingungen!$E$20,0)*(1+Randbedingungen!$E$32)^F1</f>
        <v>0</v>
      </c>
      <c r="G9" s="209">
        <f>IF(AND(MOD(G1,Randbedingungen!$E$13)=0,G1&lt;Randbedingungen!$E$5),$D$9*Randbedingungen!$E$20,0)*(1+Randbedingungen!$E$32)^G1</f>
        <v>0</v>
      </c>
      <c r="H9" s="209">
        <f>IF(AND(MOD(H1,Randbedingungen!$E$13)=0,H1&lt;Randbedingungen!$E$5),$D$9*Randbedingungen!$E$20,0)*(1+Randbedingungen!$E$32)^H1</f>
        <v>0</v>
      </c>
      <c r="I9" s="209">
        <f>IF(AND(MOD(I1,Randbedingungen!$E$13)=0,I1&lt;Randbedingungen!$E$5),$D$9*Randbedingungen!$E$20,0)*(1+Randbedingungen!$E$32)^I1</f>
        <v>-61442.219228223963</v>
      </c>
      <c r="J9" s="209">
        <f>IF(AND(MOD(J1,Randbedingungen!$E$13)=0,J1&lt;Randbedingungen!$E$5),$D$9*Randbedingungen!$E$20,0)*(1+Randbedingungen!$E$32)^J1</f>
        <v>0</v>
      </c>
      <c r="K9" s="209">
        <f>IF(AND(MOD(K1,Randbedingungen!$E$13)=0,K1&lt;Randbedingungen!$E$5),$D$9*Randbedingungen!$E$20,0)*(1+Randbedingungen!$E$32)^K1</f>
        <v>0</v>
      </c>
      <c r="L9" s="209">
        <f>IF(AND(MOD(L1,Randbedingungen!$E$13)=0,L1&lt;Randbedingungen!$E$5),$D$9*Randbedingungen!$E$20,0)*(1+Randbedingungen!$E$32)^L1</f>
        <v>0</v>
      </c>
      <c r="M9" s="209">
        <f>IF(AND(MOD(M1,Randbedingungen!$E$13)=0,M1&lt;Randbedingungen!$E$5),$D$9*Randbedingungen!$E$20,0)*(1+Randbedingungen!$E$32)^M1</f>
        <v>0</v>
      </c>
      <c r="N9" s="209">
        <f>IF(AND(MOD(N1,Randbedingungen!$E$13)=0,N1&lt;Randbedingungen!$E$5),$D$9*Randbedingungen!$E$20,0)*(1+Randbedingungen!$E$32)^N1</f>
        <v>-68639.023703438783</v>
      </c>
      <c r="O9" s="209">
        <f>IF(AND(MOD(O1,Randbedingungen!$E$13)=0,O1&lt;Randbedingungen!$E$5),$D$9*Randbedingungen!$E$20,0)*(1+Randbedingungen!$E$32)^O1</f>
        <v>0</v>
      </c>
      <c r="P9" s="209">
        <f>IF(AND(MOD(P1,Randbedingungen!$E$13)=0,P1&lt;Randbedingungen!$E$5),$D$9*Randbedingungen!$E$20,0)*(1+Randbedingungen!$E$32)^P1</f>
        <v>0</v>
      </c>
      <c r="Q9" s="209">
        <f>IF(AND(MOD(Q1,Randbedingungen!$E$13)=0,Q1&lt;Randbedingungen!$E$5),$D$9*Randbedingungen!$E$20,0)*(1+Randbedingungen!$E$32)^Q1</f>
        <v>0</v>
      </c>
      <c r="R9" s="209">
        <f>IF(AND(MOD(R1,Randbedingungen!$E$13)=0,R1&lt;Randbedingungen!$E$5),$D$9*Randbedingungen!$E$20,0)*(1+Randbedingungen!$E$32)^R1</f>
        <v>0</v>
      </c>
      <c r="S9" s="209">
        <f>IF(AND(MOD(S1,Randbedingungen!$E$13)=0,S1&lt;Randbedingungen!$E$5),$D$9*Randbedingungen!$E$20,0)*(1+Randbedingungen!$E$32)^S1</f>
        <v>-76678.798945417206</v>
      </c>
      <c r="T9" s="209">
        <f>IF(AND(MOD(T1,Randbedingungen!$E$13)=0,T1&lt;Randbedingungen!$E$5),$D$9*Randbedingungen!$E$20,0)*(1+Randbedingungen!$E$32)^T1</f>
        <v>0</v>
      </c>
      <c r="U9" s="209">
        <f>IF(AND(MOD(U1,Randbedingungen!$E$13)=0,U1&lt;Randbedingungen!$E$5),$D$9*Randbedingungen!$E$20,0)*(1+Randbedingungen!$E$32)^U1</f>
        <v>0</v>
      </c>
      <c r="V9" s="209">
        <f>IF(AND(MOD(V1,Randbedingungen!$E$13)=0,V1&lt;Randbedingungen!$E$5),$D$9*Randbedingungen!$E$20,0)*(1+Randbedingungen!$E$32)^V1</f>
        <v>0</v>
      </c>
      <c r="W9" s="209">
        <f>IF(AND(MOD(W1,Randbedingungen!$E$13)=0,W1&lt;Randbedingungen!$E$5),$D$9*Randbedingungen!$E$20,0)*(1+Randbedingungen!$E$32)^W1</f>
        <v>0</v>
      </c>
      <c r="X9" s="209">
        <f>IF(AND(MOD(X1,Randbedingungen!$E$13)=0,X1&lt;Randbedingungen!$E$5),$D$9*Randbedingungen!$E$20,0)*(1+Randbedingungen!$E$32)^X1</f>
        <v>-85660.283181113293</v>
      </c>
      <c r="Y9" s="209">
        <f>IF(AND(MOD(Y1,Randbedingungen!$E$13)=0,Y1&lt;Randbedingungen!$E$5),$D$9*Randbedingungen!$E$20,0)*(1+Randbedingungen!$E$32)^Y1</f>
        <v>0</v>
      </c>
      <c r="Z9" s="209">
        <f>IF(AND(MOD(Z1,Randbedingungen!$E$13)=0,Z1&lt;Randbedingungen!$E$5),$D$9*Randbedingungen!$E$20,0)*(1+Randbedingungen!$E$32)^Z1</f>
        <v>0</v>
      </c>
      <c r="AA9" s="209">
        <f>IF(AND(MOD(AA1,Randbedingungen!$E$13)=0,AA1&lt;Randbedingungen!$E$5),$D$9*Randbedingungen!$E$20,0)*(1+Randbedingungen!$E$32)^AA1</f>
        <v>0</v>
      </c>
      <c r="AB9" s="209">
        <f>IF(AND(MOD(AB1,Randbedingungen!$E$13)=0,AB1&lt;Randbedingungen!$E$5),$D$9*Randbedingungen!$E$20,0)*(1+Randbedingungen!$E$32)^AB1</f>
        <v>0</v>
      </c>
      <c r="AC9" s="209">
        <f>IF(AND(MOD(AC1,Randbedingungen!$E$13)=0,AC1&lt;Randbedingungen!$E$5),$D$9*Randbedingungen!$E$20,0)*(1+Randbedingungen!$E$32)^AC1</f>
        <v>-95693.779970285585</v>
      </c>
      <c r="AD9" s="209">
        <f>IF(AND(MOD(AD1,Randbedingungen!$E$13)=0,AD1&lt;Randbedingungen!$E$5),$D$9*Randbedingungen!$E$20,0)*(1+Randbedingungen!$E$32)^AD1</f>
        <v>0</v>
      </c>
      <c r="AE9" s="209">
        <f>IF(AND(MOD(AE1,Randbedingungen!$E$13)=0,AE1&lt;Randbedingungen!$E$5),$D$9*Randbedingungen!$E$20,0)*(1+Randbedingungen!$E$32)^AE1</f>
        <v>0</v>
      </c>
      <c r="AF9" s="209">
        <f>IF(AND(MOD(AF1,Randbedingungen!$E$13)=0,AF1&lt;Randbedingungen!$E$5),$D$9*Randbedingungen!$E$20,0)*(1+Randbedingungen!$E$32)^AF1</f>
        <v>0</v>
      </c>
      <c r="AG9" s="209">
        <f>IF(AND(MOD(AG1,Randbedingungen!$E$13)=0,AG1&lt;Randbedingungen!$E$5),$D$9*Randbedingungen!$E$20,0)*(1+Randbedingungen!$E$32)^AG1</f>
        <v>0</v>
      </c>
      <c r="AH9" s="209">
        <f>IF(AND(MOD(AH1,Randbedingungen!$E$13)=0,AH1&lt;Randbedingungen!$E$5),$D$9*Randbedingungen!$E$20,0)*(1+Randbedingungen!$E$32)^AH1</f>
        <v>0</v>
      </c>
    </row>
    <row r="10" spans="2:34" ht="15.75" thickBot="1">
      <c r="B10" s="44" t="s">
        <v>131</v>
      </c>
      <c r="C10" s="89"/>
      <c r="D10" s="90">
        <f t="shared" ref="D10" si="0">SUM(D5:D9)</f>
        <v>-330000</v>
      </c>
      <c r="E10" s="90">
        <f>SUM(E5:E9)*(-1)</f>
        <v>0</v>
      </c>
      <c r="F10" s="90">
        <f t="shared" ref="F10:AH10" si="1">SUM(F5:F9)*(-1)</f>
        <v>0</v>
      </c>
      <c r="G10" s="90">
        <f t="shared" si="1"/>
        <v>0</v>
      </c>
      <c r="H10" s="90">
        <f t="shared" si="1"/>
        <v>0</v>
      </c>
      <c r="I10" s="90">
        <f t="shared" si="1"/>
        <v>61442.219228223963</v>
      </c>
      <c r="J10" s="90">
        <f t="shared" si="1"/>
        <v>0</v>
      </c>
      <c r="K10" s="90">
        <f t="shared" si="1"/>
        <v>0</v>
      </c>
      <c r="L10" s="90">
        <f t="shared" si="1"/>
        <v>0</v>
      </c>
      <c r="M10" s="90">
        <f t="shared" si="1"/>
        <v>0</v>
      </c>
      <c r="N10" s="90">
        <f>SUM(N5:N9)*(-1)</f>
        <v>68639.023703438783</v>
      </c>
      <c r="O10" s="90">
        <f t="shared" si="1"/>
        <v>0</v>
      </c>
      <c r="P10" s="90">
        <f t="shared" si="1"/>
        <v>0</v>
      </c>
      <c r="Q10" s="90">
        <f t="shared" si="1"/>
        <v>0</v>
      </c>
      <c r="R10" s="90">
        <f t="shared" si="1"/>
        <v>0</v>
      </c>
      <c r="S10" s="90">
        <f>SUM(S5:S9)*(-1)</f>
        <v>230036.3968362516</v>
      </c>
      <c r="T10" s="90">
        <f t="shared" si="1"/>
        <v>0</v>
      </c>
      <c r="U10" s="90">
        <f t="shared" si="1"/>
        <v>0</v>
      </c>
      <c r="V10" s="90">
        <f t="shared" si="1"/>
        <v>0</v>
      </c>
      <c r="W10" s="90">
        <f t="shared" si="1"/>
        <v>0</v>
      </c>
      <c r="X10" s="90">
        <f t="shared" si="1"/>
        <v>85660.283181113293</v>
      </c>
      <c r="Y10" s="90">
        <f t="shared" si="1"/>
        <v>0</v>
      </c>
      <c r="Z10" s="90">
        <f t="shared" si="1"/>
        <v>0</v>
      </c>
      <c r="AA10" s="90">
        <f t="shared" si="1"/>
        <v>0</v>
      </c>
      <c r="AB10" s="90">
        <f t="shared" si="1"/>
        <v>0</v>
      </c>
      <c r="AC10" s="90">
        <f t="shared" si="1"/>
        <v>95693.779970285585</v>
      </c>
      <c r="AD10" s="90">
        <f t="shared" si="1"/>
        <v>0</v>
      </c>
      <c r="AE10" s="90">
        <f t="shared" si="1"/>
        <v>0</v>
      </c>
      <c r="AF10" s="90">
        <f t="shared" si="1"/>
        <v>0</v>
      </c>
      <c r="AG10" s="90">
        <v>0</v>
      </c>
      <c r="AH10" s="91">
        <f t="shared" si="1"/>
        <v>0</v>
      </c>
    </row>
    <row r="11" spans="2:34" s="149" customFormat="1">
      <c r="B11" s="207"/>
      <c r="C11" s="67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</row>
    <row r="12" spans="2:34" ht="15.75" thickBot="1"/>
    <row r="13" spans="2:34">
      <c r="B13" s="46" t="s">
        <v>1</v>
      </c>
      <c r="C13" s="70" t="s">
        <v>157</v>
      </c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8"/>
    </row>
    <row r="14" spans="2:34">
      <c r="B14" s="47" t="s">
        <v>11</v>
      </c>
      <c r="C14" s="64">
        <f>IF(Randbedingungen!$E$30="Spezifisch",Randbedingungen!E35,Randbedingungen!$E$32)</f>
        <v>1.2E-2</v>
      </c>
      <c r="D14" s="105">
        <f>Zusammenfassung!E9</f>
        <v>4800</v>
      </c>
      <c r="E14" s="24">
        <f>Zusammenfassung!E9*(1+C14)</f>
        <v>4857.6000000000004</v>
      </c>
      <c r="F14" s="27">
        <f>E14*(1+$C$14)</f>
        <v>4915.8912</v>
      </c>
      <c r="G14" s="27">
        <f t="shared" ref="G14:AH14" si="2">F14*(1+$C$14)</f>
        <v>4974.8818944000004</v>
      </c>
      <c r="H14" s="27">
        <f t="shared" si="2"/>
        <v>5034.5804771328003</v>
      </c>
      <c r="I14" s="27">
        <f t="shared" si="2"/>
        <v>5094.9954428583942</v>
      </c>
      <c r="J14" s="27">
        <f t="shared" si="2"/>
        <v>5156.1353881726945</v>
      </c>
      <c r="K14" s="27">
        <f t="shared" si="2"/>
        <v>5218.0090128307666</v>
      </c>
      <c r="L14" s="27">
        <f t="shared" si="2"/>
        <v>5280.625120984736</v>
      </c>
      <c r="M14" s="27">
        <f t="shared" si="2"/>
        <v>5343.9926224365527</v>
      </c>
      <c r="N14" s="27">
        <f t="shared" si="2"/>
        <v>5408.1205339057915</v>
      </c>
      <c r="O14" s="27">
        <f t="shared" si="2"/>
        <v>5473.0179803126612</v>
      </c>
      <c r="P14" s="27">
        <f t="shared" si="2"/>
        <v>5538.6941960764134</v>
      </c>
      <c r="Q14" s="27">
        <f t="shared" si="2"/>
        <v>5605.1585264293308</v>
      </c>
      <c r="R14" s="27">
        <f t="shared" si="2"/>
        <v>5672.4204287464827</v>
      </c>
      <c r="S14" s="27">
        <f t="shared" si="2"/>
        <v>5740.4894738914409</v>
      </c>
      <c r="T14" s="27">
        <f t="shared" si="2"/>
        <v>5809.3753475781386</v>
      </c>
      <c r="U14" s="27">
        <f t="shared" si="2"/>
        <v>5879.0878517490764</v>
      </c>
      <c r="V14" s="27">
        <f t="shared" si="2"/>
        <v>5949.6369059700655</v>
      </c>
      <c r="W14" s="27">
        <f t="shared" si="2"/>
        <v>6021.0325488417066</v>
      </c>
      <c r="X14" s="27">
        <f t="shared" si="2"/>
        <v>6093.2849394278073</v>
      </c>
      <c r="Y14" s="27">
        <f t="shared" si="2"/>
        <v>6166.404358700941</v>
      </c>
      <c r="Z14" s="27">
        <f t="shared" si="2"/>
        <v>6240.4012110053527</v>
      </c>
      <c r="AA14" s="27">
        <f t="shared" si="2"/>
        <v>6315.2860255374171</v>
      </c>
      <c r="AB14" s="27">
        <f t="shared" si="2"/>
        <v>6391.0694578438661</v>
      </c>
      <c r="AC14" s="27">
        <f t="shared" si="2"/>
        <v>6467.7622913379928</v>
      </c>
      <c r="AD14" s="27">
        <f t="shared" si="2"/>
        <v>6545.3754388340485</v>
      </c>
      <c r="AE14" s="27">
        <f t="shared" si="2"/>
        <v>6623.9199441000574</v>
      </c>
      <c r="AF14" s="27">
        <f t="shared" si="2"/>
        <v>6703.4069834292577</v>
      </c>
      <c r="AG14" s="27">
        <f t="shared" si="2"/>
        <v>6783.8478672304091</v>
      </c>
      <c r="AH14" s="48">
        <f t="shared" si="2"/>
        <v>6865.2540416371739</v>
      </c>
    </row>
    <row r="15" spans="2:34">
      <c r="B15" s="47" t="s">
        <v>15</v>
      </c>
      <c r="C15" s="64">
        <f>IF(Randbedingungen!$E$30="Spezifisch",Randbedingungen!E36,Randbedingungen!$E$32)</f>
        <v>1.2E-2</v>
      </c>
      <c r="D15" s="105">
        <f>Zusammenfassung!E10</f>
        <v>1200</v>
      </c>
      <c r="E15" s="24">
        <f>Zusammenfassung!E10*(1+C15)</f>
        <v>1214.4000000000001</v>
      </c>
      <c r="F15" s="27">
        <f>E15*(1+$C$15)</f>
        <v>1228.9728</v>
      </c>
      <c r="G15" s="27">
        <f t="shared" ref="G15:AH15" si="3">F15*(1+$C$15)</f>
        <v>1243.7204736000001</v>
      </c>
      <c r="H15" s="27">
        <f t="shared" si="3"/>
        <v>1258.6451192832001</v>
      </c>
      <c r="I15" s="27">
        <f t="shared" si="3"/>
        <v>1273.7488607145985</v>
      </c>
      <c r="J15" s="27">
        <f t="shared" si="3"/>
        <v>1289.0338470431736</v>
      </c>
      <c r="K15" s="27">
        <f t="shared" si="3"/>
        <v>1304.5022532076916</v>
      </c>
      <c r="L15" s="27">
        <f t="shared" si="3"/>
        <v>1320.156280246184</v>
      </c>
      <c r="M15" s="27">
        <f t="shared" si="3"/>
        <v>1335.9981556091382</v>
      </c>
      <c r="N15" s="27">
        <f t="shared" si="3"/>
        <v>1352.0301334764479</v>
      </c>
      <c r="O15" s="27">
        <f t="shared" si="3"/>
        <v>1368.2544950781653</v>
      </c>
      <c r="P15" s="27">
        <f t="shared" si="3"/>
        <v>1384.6735490191033</v>
      </c>
      <c r="Q15" s="27">
        <f t="shared" si="3"/>
        <v>1401.2896316073327</v>
      </c>
      <c r="R15" s="27">
        <f t="shared" si="3"/>
        <v>1418.1051071866207</v>
      </c>
      <c r="S15" s="27">
        <f t="shared" si="3"/>
        <v>1435.1223684728602</v>
      </c>
      <c r="T15" s="27">
        <f t="shared" si="3"/>
        <v>1452.3438368945347</v>
      </c>
      <c r="U15" s="27">
        <f t="shared" si="3"/>
        <v>1469.7719629372691</v>
      </c>
      <c r="V15" s="27">
        <f t="shared" si="3"/>
        <v>1487.4092264925164</v>
      </c>
      <c r="W15" s="27">
        <f t="shared" si="3"/>
        <v>1505.2581372104266</v>
      </c>
      <c r="X15" s="27">
        <f t="shared" si="3"/>
        <v>1523.3212348569518</v>
      </c>
      <c r="Y15" s="27">
        <f t="shared" si="3"/>
        <v>1541.6010896752352</v>
      </c>
      <c r="Z15" s="27">
        <f t="shared" si="3"/>
        <v>1560.1003027513382</v>
      </c>
      <c r="AA15" s="27">
        <f t="shared" si="3"/>
        <v>1578.8215063843543</v>
      </c>
      <c r="AB15" s="27">
        <f t="shared" si="3"/>
        <v>1597.7673644609665</v>
      </c>
      <c r="AC15" s="27">
        <f t="shared" si="3"/>
        <v>1616.9405728344982</v>
      </c>
      <c r="AD15" s="27">
        <f t="shared" si="3"/>
        <v>1636.3438597085121</v>
      </c>
      <c r="AE15" s="27">
        <f t="shared" si="3"/>
        <v>1655.9799860250143</v>
      </c>
      <c r="AF15" s="27">
        <f t="shared" si="3"/>
        <v>1675.8517458573144</v>
      </c>
      <c r="AG15" s="27">
        <f t="shared" si="3"/>
        <v>1695.9619668076023</v>
      </c>
      <c r="AH15" s="48">
        <f t="shared" si="3"/>
        <v>1716.3135104092935</v>
      </c>
    </row>
    <row r="16" spans="2:34">
      <c r="B16" s="47" t="s">
        <v>20</v>
      </c>
      <c r="C16" s="64">
        <f>IF(Randbedingungen!$E$30="Spezifisch",Randbedingungen!E37,Randbedingungen!$E$32)</f>
        <v>1.2E-2</v>
      </c>
      <c r="D16" s="105">
        <f>Zusammenfassung!E11</f>
        <v>21349.999999999996</v>
      </c>
      <c r="E16" s="24">
        <f>Zusammenfassung!E11*(1+C16)</f>
        <v>21606.199999999997</v>
      </c>
      <c r="F16" s="27">
        <f>E16*(1+$C$16)</f>
        <v>21865.474399999996</v>
      </c>
      <c r="G16" s="27">
        <f t="shared" ref="G16:AH16" si="4">F16*(1+$C$16)</f>
        <v>22127.860092799994</v>
      </c>
      <c r="H16" s="27">
        <f t="shared" si="4"/>
        <v>22393.394413913593</v>
      </c>
      <c r="I16" s="27">
        <f t="shared" si="4"/>
        <v>22662.115146880555</v>
      </c>
      <c r="J16" s="27">
        <f t="shared" si="4"/>
        <v>22934.06052864312</v>
      </c>
      <c r="K16" s="27">
        <f t="shared" si="4"/>
        <v>23209.269254986837</v>
      </c>
      <c r="L16" s="27">
        <f t="shared" si="4"/>
        <v>23487.780486046679</v>
      </c>
      <c r="M16" s="27">
        <f t="shared" si="4"/>
        <v>23769.63385187924</v>
      </c>
      <c r="N16" s="27">
        <f t="shared" si="4"/>
        <v>24054.869458101792</v>
      </c>
      <c r="O16" s="27">
        <f t="shared" si="4"/>
        <v>24343.527891599013</v>
      </c>
      <c r="P16" s="27">
        <f t="shared" si="4"/>
        <v>24635.650226298203</v>
      </c>
      <c r="Q16" s="27">
        <f t="shared" si="4"/>
        <v>24931.278029013782</v>
      </c>
      <c r="R16" s="27">
        <f t="shared" si="4"/>
        <v>25230.453365361947</v>
      </c>
      <c r="S16" s="27">
        <f t="shared" si="4"/>
        <v>25533.218805746292</v>
      </c>
      <c r="T16" s="27">
        <f t="shared" si="4"/>
        <v>25839.617431415249</v>
      </c>
      <c r="U16" s="27">
        <f t="shared" si="4"/>
        <v>26149.692840592234</v>
      </c>
      <c r="V16" s="27">
        <f t="shared" si="4"/>
        <v>26463.489154679341</v>
      </c>
      <c r="W16" s="27">
        <f t="shared" si="4"/>
        <v>26781.051024535493</v>
      </c>
      <c r="X16" s="27">
        <f t="shared" si="4"/>
        <v>27102.423636829917</v>
      </c>
      <c r="Y16" s="27">
        <f t="shared" si="4"/>
        <v>27427.652720471877</v>
      </c>
      <c r="Z16" s="27">
        <f t="shared" si="4"/>
        <v>27756.784553117541</v>
      </c>
      <c r="AA16" s="27">
        <f t="shared" si="4"/>
        <v>28089.865967754951</v>
      </c>
      <c r="AB16" s="27">
        <f t="shared" si="4"/>
        <v>28426.944359368012</v>
      </c>
      <c r="AC16" s="27">
        <f t="shared" si="4"/>
        <v>28768.06769168043</v>
      </c>
      <c r="AD16" s="27">
        <f t="shared" si="4"/>
        <v>29113.284503980594</v>
      </c>
      <c r="AE16" s="27">
        <f t="shared" si="4"/>
        <v>29462.643918028363</v>
      </c>
      <c r="AF16" s="27">
        <f t="shared" si="4"/>
        <v>29816.195645044703</v>
      </c>
      <c r="AG16" s="27">
        <f t="shared" si="4"/>
        <v>30173.989992785238</v>
      </c>
      <c r="AH16" s="48">
        <f t="shared" si="4"/>
        <v>30536.077872698661</v>
      </c>
    </row>
    <row r="17" spans="2:34" ht="15.75" thickBot="1">
      <c r="B17" s="49" t="s">
        <v>23</v>
      </c>
      <c r="C17" s="65">
        <f>IF(Randbedingungen!$E$30="Spezifisch",Randbedingungen!E38,Randbedingungen!$E$32)</f>
        <v>5.0000000000000001E-3</v>
      </c>
      <c r="D17" s="106">
        <f>Zusammenfassung!E12</f>
        <v>36800</v>
      </c>
      <c r="E17" s="28">
        <f>Zusammenfassung!E12*(1+C17)</f>
        <v>36983.999999999993</v>
      </c>
      <c r="F17" s="28">
        <f>E17*(1+$C$17)</f>
        <v>37168.919999999991</v>
      </c>
      <c r="G17" s="28">
        <f t="shared" ref="G17:AH17" si="5">F17*(1+$C$17)</f>
        <v>37354.764599999988</v>
      </c>
      <c r="H17" s="28">
        <f t="shared" si="5"/>
        <v>37541.538422999984</v>
      </c>
      <c r="I17" s="28">
        <f t="shared" si="5"/>
        <v>37729.246115114976</v>
      </c>
      <c r="J17" s="28">
        <f t="shared" si="5"/>
        <v>37917.892345690547</v>
      </c>
      <c r="K17" s="28">
        <f t="shared" si="5"/>
        <v>38107.481807418997</v>
      </c>
      <c r="L17" s="28">
        <f t="shared" si="5"/>
        <v>38298.019216456087</v>
      </c>
      <c r="M17" s="28">
        <f t="shared" si="5"/>
        <v>38489.509312538365</v>
      </c>
      <c r="N17" s="28">
        <f t="shared" si="5"/>
        <v>38681.956859101054</v>
      </c>
      <c r="O17" s="28">
        <f t="shared" si="5"/>
        <v>38875.366643396555</v>
      </c>
      <c r="P17" s="28">
        <f t="shared" si="5"/>
        <v>39069.743476613534</v>
      </c>
      <c r="Q17" s="28">
        <f t="shared" si="5"/>
        <v>39265.092193996599</v>
      </c>
      <c r="R17" s="28">
        <f t="shared" si="5"/>
        <v>39461.417654966579</v>
      </c>
      <c r="S17" s="28">
        <f t="shared" si="5"/>
        <v>39658.724743241408</v>
      </c>
      <c r="T17" s="28">
        <f t="shared" si="5"/>
        <v>39857.018366957607</v>
      </c>
      <c r="U17" s="28">
        <f t="shared" si="5"/>
        <v>40056.30345879239</v>
      </c>
      <c r="V17" s="28">
        <f t="shared" si="5"/>
        <v>40256.584976086349</v>
      </c>
      <c r="W17" s="28">
        <f t="shared" si="5"/>
        <v>40457.867900966776</v>
      </c>
      <c r="X17" s="28">
        <f t="shared" si="5"/>
        <v>40660.157240471606</v>
      </c>
      <c r="Y17" s="28">
        <f t="shared" si="5"/>
        <v>40863.458026673958</v>
      </c>
      <c r="Z17" s="28">
        <f t="shared" si="5"/>
        <v>41067.775316807325</v>
      </c>
      <c r="AA17" s="28">
        <f t="shared" si="5"/>
        <v>41273.11419339136</v>
      </c>
      <c r="AB17" s="28">
        <f t="shared" si="5"/>
        <v>41479.479764358315</v>
      </c>
      <c r="AC17" s="28">
        <f t="shared" si="5"/>
        <v>41686.877163180099</v>
      </c>
      <c r="AD17" s="28">
        <f t="shared" si="5"/>
        <v>41895.311548995996</v>
      </c>
      <c r="AE17" s="28">
        <f t="shared" si="5"/>
        <v>42104.788106740969</v>
      </c>
      <c r="AF17" s="28">
        <f t="shared" si="5"/>
        <v>42315.312047274667</v>
      </c>
      <c r="AG17" s="28">
        <f t="shared" si="5"/>
        <v>42526.888607511035</v>
      </c>
      <c r="AH17" s="50">
        <f t="shared" si="5"/>
        <v>42739.523050548589</v>
      </c>
    </row>
    <row r="18" spans="2:34" ht="15.75" thickTop="1">
      <c r="B18" s="51" t="s">
        <v>131</v>
      </c>
      <c r="C18" s="107"/>
      <c r="D18" s="107">
        <f>Zusammenfassung!E13</f>
        <v>64150</v>
      </c>
      <c r="E18" s="34">
        <f t="shared" ref="E18:AH18" si="6">SUM(E14:E17)</f>
        <v>64662.19999999999</v>
      </c>
      <c r="F18" s="34">
        <f t="shared" si="6"/>
        <v>65179.258399999984</v>
      </c>
      <c r="G18" s="34">
        <f t="shared" si="6"/>
        <v>65701.227060799982</v>
      </c>
      <c r="H18" s="34">
        <f t="shared" si="6"/>
        <v>66228.158433329576</v>
      </c>
      <c r="I18" s="34">
        <f t="shared" si="6"/>
        <v>66760.10556556852</v>
      </c>
      <c r="J18" s="34">
        <f t="shared" si="6"/>
        <v>67297.122109549528</v>
      </c>
      <c r="K18" s="34">
        <f t="shared" si="6"/>
        <v>67839.262328444296</v>
      </c>
      <c r="L18" s="34">
        <f t="shared" si="6"/>
        <v>68386.581103733683</v>
      </c>
      <c r="M18" s="34">
        <f t="shared" si="6"/>
        <v>68939.13394246329</v>
      </c>
      <c r="N18" s="34">
        <f t="shared" si="6"/>
        <v>69496.976984585082</v>
      </c>
      <c r="O18" s="34">
        <f t="shared" si="6"/>
        <v>70060.167010386387</v>
      </c>
      <c r="P18" s="34">
        <f t="shared" si="6"/>
        <v>70628.761448007252</v>
      </c>
      <c r="Q18" s="34">
        <f t="shared" si="6"/>
        <v>71202.818381047051</v>
      </c>
      <c r="R18" s="34">
        <f t="shared" si="6"/>
        <v>71782.396556261636</v>
      </c>
      <c r="S18" s="34">
        <f t="shared" si="6"/>
        <v>72367.555391351998</v>
      </c>
      <c r="T18" s="34">
        <f t="shared" si="6"/>
        <v>72958.354982845529</v>
      </c>
      <c r="U18" s="34">
        <f t="shared" si="6"/>
        <v>73554.856114070979</v>
      </c>
      <c r="V18" s="34">
        <f t="shared" si="6"/>
        <v>74157.12026322828</v>
      </c>
      <c r="W18" s="34">
        <f t="shared" si="6"/>
        <v>74765.209611554397</v>
      </c>
      <c r="X18" s="34">
        <f t="shared" si="6"/>
        <v>75379.187051586283</v>
      </c>
      <c r="Y18" s="34">
        <f t="shared" si="6"/>
        <v>75999.116195522016</v>
      </c>
      <c r="Z18" s="34">
        <f t="shared" si="6"/>
        <v>76625.061383681546</v>
      </c>
      <c r="AA18" s="34">
        <f t="shared" si="6"/>
        <v>77257.087693068082</v>
      </c>
      <c r="AB18" s="34">
        <f t="shared" si="6"/>
        <v>77895.260946031165</v>
      </c>
      <c r="AC18" s="34">
        <f t="shared" si="6"/>
        <v>78539.647719033019</v>
      </c>
      <c r="AD18" s="34">
        <f t="shared" si="6"/>
        <v>79190.315351519152</v>
      </c>
      <c r="AE18" s="34">
        <f t="shared" si="6"/>
        <v>79847.331954894413</v>
      </c>
      <c r="AF18" s="34">
        <f t="shared" si="6"/>
        <v>80510.766421605949</v>
      </c>
      <c r="AG18" s="34">
        <f t="shared" si="6"/>
        <v>81180.688434334283</v>
      </c>
      <c r="AH18" s="52">
        <f t="shared" si="6"/>
        <v>81857.168475293729</v>
      </c>
    </row>
    <row r="19" spans="2:34">
      <c r="B19" s="47"/>
      <c r="C19" s="6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41"/>
    </row>
    <row r="20" spans="2:34">
      <c r="B20" s="51" t="s">
        <v>26</v>
      </c>
      <c r="C20" s="71" t="s">
        <v>157</v>
      </c>
      <c r="E20" s="24"/>
      <c r="AH20" s="5"/>
    </row>
    <row r="21" spans="2:34" ht="15.75" thickBot="1">
      <c r="B21" s="49" t="s">
        <v>158</v>
      </c>
      <c r="C21" s="65">
        <f>IF(Randbedingungen!$E$30="Spezifisch",Randbedingungen!E39,Randbedingungen!$E$32)</f>
        <v>1.4999999999999999E-2</v>
      </c>
      <c r="D21" s="108">
        <f>Zusammenfassung!E15</f>
        <v>25200</v>
      </c>
      <c r="E21" s="26">
        <f>Zusammenfassung!E15*(1+C21)</f>
        <v>25577.999999999996</v>
      </c>
      <c r="F21" s="28">
        <f>E21*(1+$C$21)</f>
        <v>25961.669999999995</v>
      </c>
      <c r="G21" s="28">
        <f>F21*(1+$C$21)</f>
        <v>26351.095049999993</v>
      </c>
      <c r="H21" s="28">
        <f t="shared" ref="H21:AH21" si="7">G21*(1+$C$21)</f>
        <v>26746.361475749989</v>
      </c>
      <c r="I21" s="28">
        <f t="shared" si="7"/>
        <v>27147.556897886236</v>
      </c>
      <c r="J21" s="28">
        <f t="shared" si="7"/>
        <v>27554.770251354526</v>
      </c>
      <c r="K21" s="28">
        <f t="shared" si="7"/>
        <v>27968.091805124841</v>
      </c>
      <c r="L21" s="28">
        <f t="shared" si="7"/>
        <v>28387.613182201712</v>
      </c>
      <c r="M21" s="28">
        <f t="shared" si="7"/>
        <v>28813.427379934736</v>
      </c>
      <c r="N21" s="28">
        <f t="shared" si="7"/>
        <v>29245.628790633753</v>
      </c>
      <c r="O21" s="28">
        <f t="shared" si="7"/>
        <v>29684.313222493256</v>
      </c>
      <c r="P21" s="28">
        <f t="shared" si="7"/>
        <v>30129.577920830652</v>
      </c>
      <c r="Q21" s="28">
        <f t="shared" si="7"/>
        <v>30581.521589643107</v>
      </c>
      <c r="R21" s="28">
        <f t="shared" si="7"/>
        <v>31040.244413487751</v>
      </c>
      <c r="S21" s="28">
        <f t="shared" si="7"/>
        <v>31505.848079690066</v>
      </c>
      <c r="T21" s="28">
        <f t="shared" si="7"/>
        <v>31978.435800885414</v>
      </c>
      <c r="U21" s="28">
        <f t="shared" si="7"/>
        <v>32458.112337898692</v>
      </c>
      <c r="V21" s="28">
        <f t="shared" si="7"/>
        <v>32944.984022967168</v>
      </c>
      <c r="W21" s="28">
        <f t="shared" si="7"/>
        <v>33439.158783311672</v>
      </c>
      <c r="X21" s="28">
        <f t="shared" si="7"/>
        <v>33940.74616506134</v>
      </c>
      <c r="Y21" s="28">
        <f t="shared" si="7"/>
        <v>34449.857357537257</v>
      </c>
      <c r="Z21" s="28">
        <f t="shared" si="7"/>
        <v>34966.605217900316</v>
      </c>
      <c r="AA21" s="28">
        <f t="shared" si="7"/>
        <v>35491.104296168814</v>
      </c>
      <c r="AB21" s="28">
        <f t="shared" si="7"/>
        <v>36023.470860611342</v>
      </c>
      <c r="AC21" s="28">
        <f t="shared" si="7"/>
        <v>36563.822923520507</v>
      </c>
      <c r="AD21" s="28">
        <f t="shared" si="7"/>
        <v>37112.280267373309</v>
      </c>
      <c r="AE21" s="28">
        <f t="shared" si="7"/>
        <v>37668.964471383908</v>
      </c>
      <c r="AF21" s="28">
        <f t="shared" si="7"/>
        <v>38233.998938454664</v>
      </c>
      <c r="AG21" s="28">
        <f t="shared" si="7"/>
        <v>38807.50892253148</v>
      </c>
      <c r="AH21" s="50">
        <f t="shared" si="7"/>
        <v>39389.62155636945</v>
      </c>
    </row>
    <row r="22" spans="2:34" ht="16.5" thickTop="1" thickBot="1">
      <c r="B22" s="53" t="s">
        <v>131</v>
      </c>
      <c r="C22" s="72"/>
      <c r="D22" s="109">
        <f>Zusammenfassung!E16</f>
        <v>25200</v>
      </c>
      <c r="E22" s="54">
        <f>E21</f>
        <v>25577.999999999996</v>
      </c>
      <c r="F22" s="54">
        <f t="shared" ref="F22:AH22" si="8">F21</f>
        <v>25961.669999999995</v>
      </c>
      <c r="G22" s="54">
        <f t="shared" si="8"/>
        <v>26351.095049999993</v>
      </c>
      <c r="H22" s="54">
        <f t="shared" si="8"/>
        <v>26746.361475749989</v>
      </c>
      <c r="I22" s="54">
        <f t="shared" si="8"/>
        <v>27147.556897886236</v>
      </c>
      <c r="J22" s="54">
        <f t="shared" si="8"/>
        <v>27554.770251354526</v>
      </c>
      <c r="K22" s="54">
        <f t="shared" si="8"/>
        <v>27968.091805124841</v>
      </c>
      <c r="L22" s="54">
        <f t="shared" si="8"/>
        <v>28387.613182201712</v>
      </c>
      <c r="M22" s="54">
        <f t="shared" si="8"/>
        <v>28813.427379934736</v>
      </c>
      <c r="N22" s="54">
        <f t="shared" si="8"/>
        <v>29245.628790633753</v>
      </c>
      <c r="O22" s="54">
        <f t="shared" si="8"/>
        <v>29684.313222493256</v>
      </c>
      <c r="P22" s="54">
        <f t="shared" si="8"/>
        <v>30129.577920830652</v>
      </c>
      <c r="Q22" s="54">
        <f t="shared" si="8"/>
        <v>30581.521589643107</v>
      </c>
      <c r="R22" s="54">
        <f t="shared" si="8"/>
        <v>31040.244413487751</v>
      </c>
      <c r="S22" s="54">
        <f t="shared" si="8"/>
        <v>31505.848079690066</v>
      </c>
      <c r="T22" s="54">
        <f t="shared" si="8"/>
        <v>31978.435800885414</v>
      </c>
      <c r="U22" s="54">
        <f t="shared" si="8"/>
        <v>32458.112337898692</v>
      </c>
      <c r="V22" s="54">
        <f t="shared" si="8"/>
        <v>32944.984022967168</v>
      </c>
      <c r="W22" s="54">
        <f t="shared" si="8"/>
        <v>33439.158783311672</v>
      </c>
      <c r="X22" s="54">
        <f t="shared" si="8"/>
        <v>33940.74616506134</v>
      </c>
      <c r="Y22" s="54">
        <f t="shared" si="8"/>
        <v>34449.857357537257</v>
      </c>
      <c r="Z22" s="54">
        <f t="shared" si="8"/>
        <v>34966.605217900316</v>
      </c>
      <c r="AA22" s="54">
        <f t="shared" si="8"/>
        <v>35491.104296168814</v>
      </c>
      <c r="AB22" s="54">
        <f t="shared" si="8"/>
        <v>36023.470860611342</v>
      </c>
      <c r="AC22" s="54">
        <f t="shared" si="8"/>
        <v>36563.822923520507</v>
      </c>
      <c r="AD22" s="54">
        <f t="shared" si="8"/>
        <v>37112.280267373309</v>
      </c>
      <c r="AE22" s="54">
        <f t="shared" si="8"/>
        <v>37668.964471383908</v>
      </c>
      <c r="AF22" s="54">
        <f t="shared" si="8"/>
        <v>38233.998938454664</v>
      </c>
      <c r="AG22" s="54">
        <f t="shared" si="8"/>
        <v>38807.50892253148</v>
      </c>
      <c r="AH22" s="55">
        <f t="shared" si="8"/>
        <v>39389.62155636945</v>
      </c>
    </row>
    <row r="23" spans="2:34" ht="15.75" thickBot="1">
      <c r="B23" s="21"/>
      <c r="C23" s="71"/>
      <c r="D23" s="21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</row>
    <row r="24" spans="2:34">
      <c r="B24" s="99" t="s">
        <v>69</v>
      </c>
      <c r="C24" s="70" t="s">
        <v>159</v>
      </c>
      <c r="D24" s="100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2"/>
    </row>
    <row r="25" spans="2:34">
      <c r="B25" s="92" t="s">
        <v>149</v>
      </c>
      <c r="C25" s="64">
        <f>IF(Randbedingungen!$E$30="Spezifisch",Randbedingungen!E41,Randbedingungen!$E$32)</f>
        <v>5.0000000000000001E-3</v>
      </c>
      <c r="D25" s="110">
        <f>Zusammenfassung!E18</f>
        <v>54000</v>
      </c>
      <c r="E25" s="14">
        <f>Zusammenfassung!E18*(1+C25)</f>
        <v>54269.999999999993</v>
      </c>
      <c r="F25" s="14">
        <f>E25*(1+$C$25)</f>
        <v>54541.349999999984</v>
      </c>
      <c r="G25" s="14">
        <f t="shared" ref="G25:AH25" si="9">F25*(1+$C$25)</f>
        <v>54814.056749999982</v>
      </c>
      <c r="H25" s="14">
        <f t="shared" si="9"/>
        <v>55088.127033749974</v>
      </c>
      <c r="I25" s="14">
        <f t="shared" si="9"/>
        <v>55363.567668918717</v>
      </c>
      <c r="J25" s="14">
        <f t="shared" si="9"/>
        <v>55640.385507263301</v>
      </c>
      <c r="K25" s="14">
        <f t="shared" si="9"/>
        <v>55918.587434799614</v>
      </c>
      <c r="L25" s="14">
        <f t="shared" si="9"/>
        <v>56198.180371973605</v>
      </c>
      <c r="M25" s="14">
        <f t="shared" si="9"/>
        <v>56479.171273833468</v>
      </c>
      <c r="N25" s="14">
        <f t="shared" si="9"/>
        <v>56761.567130202631</v>
      </c>
      <c r="O25" s="14">
        <f t="shared" si="9"/>
        <v>57045.37496585364</v>
      </c>
      <c r="P25" s="14">
        <f t="shared" si="9"/>
        <v>57330.601840682903</v>
      </c>
      <c r="Q25" s="14">
        <f t="shared" si="9"/>
        <v>57617.254849886311</v>
      </c>
      <c r="R25" s="14">
        <f t="shared" si="9"/>
        <v>57905.341124135739</v>
      </c>
      <c r="S25" s="14">
        <f t="shared" si="9"/>
        <v>58194.867829756411</v>
      </c>
      <c r="T25" s="14">
        <f t="shared" si="9"/>
        <v>58485.84216890519</v>
      </c>
      <c r="U25" s="14">
        <f t="shared" si="9"/>
        <v>58778.271379749713</v>
      </c>
      <c r="V25" s="14">
        <f t="shared" si="9"/>
        <v>59072.162736648454</v>
      </c>
      <c r="W25" s="14">
        <f t="shared" si="9"/>
        <v>59367.523550331687</v>
      </c>
      <c r="X25" s="14">
        <f t="shared" si="9"/>
        <v>59664.361168083342</v>
      </c>
      <c r="Y25" s="14">
        <f t="shared" si="9"/>
        <v>59962.682973923751</v>
      </c>
      <c r="Z25" s="14">
        <f t="shared" si="9"/>
        <v>60262.496388793363</v>
      </c>
      <c r="AA25" s="14">
        <f t="shared" si="9"/>
        <v>60563.808870737324</v>
      </c>
      <c r="AB25" s="14">
        <f t="shared" si="9"/>
        <v>60866.627915091005</v>
      </c>
      <c r="AC25" s="14">
        <f t="shared" si="9"/>
        <v>61170.961054666455</v>
      </c>
      <c r="AD25" s="14">
        <f t="shared" si="9"/>
        <v>61476.815859939779</v>
      </c>
      <c r="AE25" s="14">
        <f t="shared" si="9"/>
        <v>61784.199939239472</v>
      </c>
      <c r="AF25" s="14">
        <f t="shared" si="9"/>
        <v>62093.120938935659</v>
      </c>
      <c r="AG25" s="14">
        <f t="shared" si="9"/>
        <v>62403.586543630328</v>
      </c>
      <c r="AH25" s="15">
        <f t="shared" si="9"/>
        <v>62715.604476348475</v>
      </c>
    </row>
    <row r="26" spans="2:34">
      <c r="B26" s="93" t="s">
        <v>160</v>
      </c>
      <c r="C26" s="67" t="s">
        <v>161</v>
      </c>
      <c r="AH26" s="5"/>
    </row>
    <row r="27" spans="2:34">
      <c r="B27" s="92" t="s">
        <v>74</v>
      </c>
      <c r="C27" s="64">
        <f>Input!E122</f>
        <v>0.02</v>
      </c>
      <c r="D27" s="105">
        <f>Zusammenfassung!E19</f>
        <v>5500</v>
      </c>
      <c r="E27" s="24">
        <f>$C$27*Zusammenfassung!$E$7</f>
        <v>6600</v>
      </c>
      <c r="F27" s="24">
        <f>$C$27*Zusammenfassung!$E$7</f>
        <v>6600</v>
      </c>
      <c r="G27" s="24">
        <f>$C$27*Zusammenfassung!$E$7</f>
        <v>6600</v>
      </c>
      <c r="H27" s="24">
        <f>$C$27*Zusammenfassung!$E$7</f>
        <v>6600</v>
      </c>
      <c r="I27" s="24">
        <f>$C$27*Zusammenfassung!$E$7</f>
        <v>6600</v>
      </c>
      <c r="J27" s="24">
        <f>$C$27*Zusammenfassung!$E$7</f>
        <v>6600</v>
      </c>
      <c r="K27" s="24">
        <f>$C$27*Zusammenfassung!$E$7</f>
        <v>6600</v>
      </c>
      <c r="L27" s="24">
        <f>$C$27*Zusammenfassung!$E$7</f>
        <v>6600</v>
      </c>
      <c r="M27" s="24">
        <f>$C$27*Zusammenfassung!$E$7</f>
        <v>6600</v>
      </c>
      <c r="N27" s="24">
        <f>$C$27*Zusammenfassung!$E$7</f>
        <v>6600</v>
      </c>
      <c r="O27" s="24">
        <f>$C$27*Zusammenfassung!$E$7</f>
        <v>6600</v>
      </c>
      <c r="P27" s="24">
        <f>$C$27*Zusammenfassung!$E$7</f>
        <v>6600</v>
      </c>
      <c r="Q27" s="24">
        <f>$C$27*Zusammenfassung!$E$7</f>
        <v>6600</v>
      </c>
      <c r="R27" s="24">
        <f>$C$27*Zusammenfassung!$E$7</f>
        <v>6600</v>
      </c>
      <c r="S27" s="24">
        <f>$C$27*Zusammenfassung!$E$7</f>
        <v>6600</v>
      </c>
      <c r="T27" s="24">
        <f>$C$27*Zusammenfassung!$E$7</f>
        <v>6600</v>
      </c>
      <c r="U27" s="24">
        <f>$C$27*Zusammenfassung!$E$7</f>
        <v>6600</v>
      </c>
      <c r="V27" s="24">
        <f>$C$27*Zusammenfassung!$E$7</f>
        <v>6600</v>
      </c>
      <c r="W27" s="24">
        <f>$C$27*Zusammenfassung!$E$7</f>
        <v>6600</v>
      </c>
      <c r="X27" s="24">
        <f>$C$27*Zusammenfassung!$E$7</f>
        <v>6600</v>
      </c>
      <c r="Y27" s="24">
        <f>$C$27*Zusammenfassung!$E$7</f>
        <v>6600</v>
      </c>
      <c r="Z27" s="24">
        <f>$C$27*Zusammenfassung!$E$7</f>
        <v>6600</v>
      </c>
      <c r="AA27" s="24">
        <f>$C$27*Zusammenfassung!$E$7</f>
        <v>6600</v>
      </c>
      <c r="AB27" s="24">
        <f>$C$27*Zusammenfassung!$E$7</f>
        <v>6600</v>
      </c>
      <c r="AC27" s="24">
        <f>$C$27*Zusammenfassung!$E$7</f>
        <v>6600</v>
      </c>
      <c r="AD27" s="24">
        <f>$C$27*Zusammenfassung!$E$7</f>
        <v>6600</v>
      </c>
      <c r="AE27" s="24">
        <f>$C$27*Zusammenfassung!$E$7</f>
        <v>6600</v>
      </c>
      <c r="AF27" s="24">
        <f>$C$27*Zusammenfassung!$E$7</f>
        <v>6600</v>
      </c>
      <c r="AG27" s="24">
        <f>$C$27*Zusammenfassung!$E$7</f>
        <v>6600</v>
      </c>
      <c r="AH27" s="41">
        <f>$C$27*Zusammenfassung!$E$7</f>
        <v>6600</v>
      </c>
    </row>
    <row r="28" spans="2:34" ht="15.75" thickBot="1">
      <c r="B28" s="94" t="s">
        <v>162</v>
      </c>
      <c r="C28" s="65">
        <f>Input!E123</f>
        <v>0.01</v>
      </c>
      <c r="D28" s="108">
        <f>Zusammenfassung!E20</f>
        <v>2750</v>
      </c>
      <c r="E28" s="26">
        <f>$C$28*Zusammenfassung!$E$7</f>
        <v>3300</v>
      </c>
      <c r="F28" s="26">
        <f>$C$28*Zusammenfassung!$E$7</f>
        <v>3300</v>
      </c>
      <c r="G28" s="26">
        <f>$C$28*Zusammenfassung!$E$7</f>
        <v>3300</v>
      </c>
      <c r="H28" s="26">
        <f>$C$28*Zusammenfassung!$E$7</f>
        <v>3300</v>
      </c>
      <c r="I28" s="26">
        <f>$C$28*Zusammenfassung!$E$7</f>
        <v>3300</v>
      </c>
      <c r="J28" s="26">
        <f>$C$28*Zusammenfassung!$E$7</f>
        <v>3300</v>
      </c>
      <c r="K28" s="26">
        <f>$C$28*Zusammenfassung!$E$7</f>
        <v>3300</v>
      </c>
      <c r="L28" s="26">
        <f>$C$28*Zusammenfassung!$E$7</f>
        <v>3300</v>
      </c>
      <c r="M28" s="26">
        <f>$C$28*Zusammenfassung!$E$7</f>
        <v>3300</v>
      </c>
      <c r="N28" s="26">
        <f>$C$28*Zusammenfassung!$E$7</f>
        <v>3300</v>
      </c>
      <c r="O28" s="26">
        <f>$C$28*Zusammenfassung!$E$7</f>
        <v>3300</v>
      </c>
      <c r="P28" s="26">
        <f>$C$28*Zusammenfassung!$E$7</f>
        <v>3300</v>
      </c>
      <c r="Q28" s="26">
        <f>$C$28*Zusammenfassung!$E$7</f>
        <v>3300</v>
      </c>
      <c r="R28" s="26">
        <f>$C$28*Zusammenfassung!$E$7</f>
        <v>3300</v>
      </c>
      <c r="S28" s="26">
        <f>$C$28*Zusammenfassung!$E$7</f>
        <v>3300</v>
      </c>
      <c r="T28" s="26">
        <f>$C$28*Zusammenfassung!$E$7</f>
        <v>3300</v>
      </c>
      <c r="U28" s="26">
        <f>$C$28*Zusammenfassung!$E$7</f>
        <v>3300</v>
      </c>
      <c r="V28" s="26">
        <f>$C$28*Zusammenfassung!$E$7</f>
        <v>3300</v>
      </c>
      <c r="W28" s="26">
        <f>$C$28*Zusammenfassung!$E$7</f>
        <v>3300</v>
      </c>
      <c r="X28" s="26">
        <f>$C$28*Zusammenfassung!$E$7</f>
        <v>3300</v>
      </c>
      <c r="Y28" s="26">
        <f>$C$28*Zusammenfassung!$E$7</f>
        <v>3300</v>
      </c>
      <c r="Z28" s="26">
        <f>$C$28*Zusammenfassung!$E$7</f>
        <v>3300</v>
      </c>
      <c r="AA28" s="26">
        <f>$C$28*Zusammenfassung!$E$7</f>
        <v>3300</v>
      </c>
      <c r="AB28" s="26">
        <f>$C$28*Zusammenfassung!$E$7</f>
        <v>3300</v>
      </c>
      <c r="AC28" s="26">
        <f>$C$28*Zusammenfassung!$E$7</f>
        <v>3300</v>
      </c>
      <c r="AD28" s="26">
        <f>$C$28*Zusammenfassung!$E$7</f>
        <v>3300</v>
      </c>
      <c r="AE28" s="26">
        <f>$C$28*Zusammenfassung!$E$7</f>
        <v>3300</v>
      </c>
      <c r="AF28" s="26">
        <f>$C$28*Zusammenfassung!$E$7</f>
        <v>3300</v>
      </c>
      <c r="AG28" s="26">
        <f>$C$28*Zusammenfassung!$E$7</f>
        <v>3300</v>
      </c>
      <c r="AH28" s="43">
        <f>$C$28*Zusammenfassung!$E$7</f>
        <v>3300</v>
      </c>
    </row>
    <row r="29" spans="2:34" ht="16.5" thickTop="1" thickBot="1">
      <c r="B29" s="95" t="s">
        <v>131</v>
      </c>
      <c r="C29" s="96"/>
      <c r="D29" s="111">
        <f>Zusammenfassung!E21</f>
        <v>62250</v>
      </c>
      <c r="E29" s="98">
        <f>SUM(E25:E28)</f>
        <v>64169.999999999993</v>
      </c>
      <c r="F29" s="98">
        <f t="shared" ref="F29:AH29" si="10">SUM(F25:F28)</f>
        <v>64441.349999999984</v>
      </c>
      <c r="G29" s="98">
        <f t="shared" si="10"/>
        <v>64714.056749999982</v>
      </c>
      <c r="H29" s="98">
        <f t="shared" si="10"/>
        <v>64988.127033749974</v>
      </c>
      <c r="I29" s="98">
        <f t="shared" si="10"/>
        <v>65263.567668918717</v>
      </c>
      <c r="J29" s="98">
        <f t="shared" si="10"/>
        <v>65540.385507263301</v>
      </c>
      <c r="K29" s="98">
        <f t="shared" si="10"/>
        <v>65818.587434799614</v>
      </c>
      <c r="L29" s="98">
        <f t="shared" si="10"/>
        <v>66098.180371973605</v>
      </c>
      <c r="M29" s="98">
        <f t="shared" si="10"/>
        <v>66379.171273833461</v>
      </c>
      <c r="N29" s="98">
        <f t="shared" si="10"/>
        <v>66661.567130202631</v>
      </c>
      <c r="O29" s="98">
        <f t="shared" si="10"/>
        <v>66945.37496585364</v>
      </c>
      <c r="P29" s="98">
        <f t="shared" si="10"/>
        <v>67230.60184068291</v>
      </c>
      <c r="Q29" s="98">
        <f t="shared" si="10"/>
        <v>67517.254849886318</v>
      </c>
      <c r="R29" s="98">
        <f t="shared" si="10"/>
        <v>67805.341124135739</v>
      </c>
      <c r="S29" s="98">
        <f t="shared" si="10"/>
        <v>68094.867829756404</v>
      </c>
      <c r="T29" s="98">
        <f t="shared" si="10"/>
        <v>68385.84216890519</v>
      </c>
      <c r="U29" s="98">
        <f t="shared" si="10"/>
        <v>68678.271379749713</v>
      </c>
      <c r="V29" s="98">
        <f t="shared" si="10"/>
        <v>68972.162736648461</v>
      </c>
      <c r="W29" s="98">
        <f t="shared" si="10"/>
        <v>69267.52355033168</v>
      </c>
      <c r="X29" s="98">
        <f t="shared" si="10"/>
        <v>69564.361168083342</v>
      </c>
      <c r="Y29" s="98">
        <f t="shared" si="10"/>
        <v>69862.682973923744</v>
      </c>
      <c r="Z29" s="98">
        <f t="shared" si="10"/>
        <v>70162.49638879337</v>
      </c>
      <c r="AA29" s="98">
        <f t="shared" si="10"/>
        <v>70463.808870737324</v>
      </c>
      <c r="AB29" s="98">
        <f t="shared" si="10"/>
        <v>70766.627915090998</v>
      </c>
      <c r="AC29" s="98">
        <f t="shared" si="10"/>
        <v>71070.961054666463</v>
      </c>
      <c r="AD29" s="98">
        <f t="shared" si="10"/>
        <v>71376.815859939787</v>
      </c>
      <c r="AE29" s="98">
        <f t="shared" si="10"/>
        <v>71684.199939239479</v>
      </c>
      <c r="AF29" s="98">
        <f t="shared" si="10"/>
        <v>71993.120938935666</v>
      </c>
      <c r="AG29" s="98">
        <f t="shared" si="10"/>
        <v>72303.586543630328</v>
      </c>
      <c r="AH29" s="104">
        <f t="shared" si="10"/>
        <v>72615.604476348468</v>
      </c>
    </row>
    <row r="30" spans="2:34" ht="15.75" thickBot="1">
      <c r="C30" s="69"/>
    </row>
    <row r="31" spans="2:34">
      <c r="B31" s="56" t="s">
        <v>139</v>
      </c>
      <c r="C31" s="70" t="s">
        <v>158</v>
      </c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8"/>
    </row>
    <row r="32" spans="2:34">
      <c r="B32" s="57" t="s">
        <v>140</v>
      </c>
      <c r="C32" s="205">
        <f>IF(Randbedingungen!$E$30="Spezifisch",Randbedingungen!E40,Randbedingungen!$E$32)</f>
        <v>0.02</v>
      </c>
      <c r="D32" s="105">
        <f>Zusammenfassung!E23</f>
        <v>156000</v>
      </c>
      <c r="E32" s="24">
        <f>Zusammenfassung!E23*(1+C32)</f>
        <v>159120</v>
      </c>
      <c r="F32" s="14">
        <f t="shared" ref="F32:AH32" si="11">E32*(1+$C$32)</f>
        <v>162302.39999999999</v>
      </c>
      <c r="G32" s="14">
        <f t="shared" si="11"/>
        <v>165548.448</v>
      </c>
      <c r="H32" s="14">
        <f t="shared" si="11"/>
        <v>168859.41696</v>
      </c>
      <c r="I32" s="14">
        <f t="shared" si="11"/>
        <v>172236.60529920002</v>
      </c>
      <c r="J32" s="14">
        <f t="shared" si="11"/>
        <v>175681.33740518402</v>
      </c>
      <c r="K32" s="14">
        <f t="shared" si="11"/>
        <v>179194.9641532877</v>
      </c>
      <c r="L32" s="14">
        <f t="shared" si="11"/>
        <v>182778.86343635345</v>
      </c>
      <c r="M32" s="14">
        <f t="shared" si="11"/>
        <v>186434.44070508052</v>
      </c>
      <c r="N32" s="14">
        <f t="shared" si="11"/>
        <v>190163.12951918214</v>
      </c>
      <c r="O32" s="14">
        <f t="shared" si="11"/>
        <v>193966.39210956579</v>
      </c>
      <c r="P32" s="14">
        <f t="shared" si="11"/>
        <v>197845.71995175711</v>
      </c>
      <c r="Q32" s="14">
        <f t="shared" si="11"/>
        <v>201802.63435079227</v>
      </c>
      <c r="R32" s="14">
        <f t="shared" si="11"/>
        <v>205838.68703780812</v>
      </c>
      <c r="S32" s="14">
        <f t="shared" si="11"/>
        <v>209955.4607785643</v>
      </c>
      <c r="T32" s="14">
        <f t="shared" si="11"/>
        <v>214154.56999413559</v>
      </c>
      <c r="U32" s="14">
        <f t="shared" si="11"/>
        <v>218437.6613940183</v>
      </c>
      <c r="V32" s="14">
        <f t="shared" si="11"/>
        <v>222806.41462189867</v>
      </c>
      <c r="W32" s="14">
        <f t="shared" si="11"/>
        <v>227262.54291433663</v>
      </c>
      <c r="X32" s="14">
        <f t="shared" si="11"/>
        <v>231807.79377262338</v>
      </c>
      <c r="Y32" s="14">
        <f t="shared" si="11"/>
        <v>236443.94964807585</v>
      </c>
      <c r="Z32" s="14">
        <f t="shared" si="11"/>
        <v>241172.82864103737</v>
      </c>
      <c r="AA32" s="14">
        <f t="shared" si="11"/>
        <v>245996.28521385812</v>
      </c>
      <c r="AB32" s="14">
        <f t="shared" si="11"/>
        <v>250916.2109181353</v>
      </c>
      <c r="AC32" s="14">
        <f t="shared" si="11"/>
        <v>255934.53513649802</v>
      </c>
      <c r="AD32" s="14">
        <f t="shared" si="11"/>
        <v>261053.22583922799</v>
      </c>
      <c r="AE32" s="14">
        <f t="shared" si="11"/>
        <v>266274.29035601253</v>
      </c>
      <c r="AF32" s="14">
        <f t="shared" si="11"/>
        <v>271599.7761631328</v>
      </c>
      <c r="AG32" s="14">
        <f t="shared" si="11"/>
        <v>277031.77168639546</v>
      </c>
      <c r="AH32" s="15">
        <f t="shared" si="11"/>
        <v>282572.40712012339</v>
      </c>
    </row>
    <row r="33" spans="2:34" ht="15.75" thickBot="1">
      <c r="B33" s="58" t="s">
        <v>141</v>
      </c>
      <c r="C33" s="206">
        <f>IF(Randbedingungen!$E$30="Spezifisch",Randbedingungen!E40,Randbedingungen!$E$32)</f>
        <v>0.02</v>
      </c>
      <c r="D33" s="108">
        <f>Zusammenfassung!E24</f>
        <v>18000</v>
      </c>
      <c r="E33" s="26">
        <f>Zusammenfassung!E24*(1+C33)</f>
        <v>18360</v>
      </c>
      <c r="F33" s="29">
        <f>E33*(1+$C$33)</f>
        <v>18727.2</v>
      </c>
      <c r="G33" s="29">
        <f t="shared" ref="G33:AH33" si="12">F33*(1+$C$33)</f>
        <v>19101.744000000002</v>
      </c>
      <c r="H33" s="29">
        <f t="shared" si="12"/>
        <v>19483.778880000002</v>
      </c>
      <c r="I33" s="29">
        <f t="shared" si="12"/>
        <v>19873.454457600001</v>
      </c>
      <c r="J33" s="29">
        <f t="shared" si="12"/>
        <v>20270.923546752001</v>
      </c>
      <c r="K33" s="29">
        <f t="shared" si="12"/>
        <v>20676.342017687042</v>
      </c>
      <c r="L33" s="29">
        <f t="shared" si="12"/>
        <v>21089.868858040783</v>
      </c>
      <c r="M33" s="29">
        <f t="shared" si="12"/>
        <v>21511.666235201599</v>
      </c>
      <c r="N33" s="29">
        <f t="shared" si="12"/>
        <v>21941.899559905632</v>
      </c>
      <c r="O33" s="29">
        <f t="shared" si="12"/>
        <v>22380.737551103746</v>
      </c>
      <c r="P33" s="29">
        <f t="shared" si="12"/>
        <v>22828.352302125822</v>
      </c>
      <c r="Q33" s="29">
        <f t="shared" si="12"/>
        <v>23284.91934816834</v>
      </c>
      <c r="R33" s="29">
        <f t="shared" si="12"/>
        <v>23750.617735131706</v>
      </c>
      <c r="S33" s="29">
        <f t="shared" si="12"/>
        <v>24225.63008983434</v>
      </c>
      <c r="T33" s="29">
        <f t="shared" si="12"/>
        <v>24710.142691631027</v>
      </c>
      <c r="U33" s="29">
        <f t="shared" si="12"/>
        <v>25204.345545463646</v>
      </c>
      <c r="V33" s="29">
        <f t="shared" si="12"/>
        <v>25708.432456372921</v>
      </c>
      <c r="W33" s="29">
        <f t="shared" si="12"/>
        <v>26222.60110550038</v>
      </c>
      <c r="X33" s="29">
        <f t="shared" si="12"/>
        <v>26747.053127610387</v>
      </c>
      <c r="Y33" s="29">
        <f t="shared" si="12"/>
        <v>27281.994190162593</v>
      </c>
      <c r="Z33" s="29">
        <f t="shared" si="12"/>
        <v>27827.634073965844</v>
      </c>
      <c r="AA33" s="29">
        <f t="shared" si="12"/>
        <v>28384.18675544516</v>
      </c>
      <c r="AB33" s="29">
        <f t="shared" si="12"/>
        <v>28951.870490554065</v>
      </c>
      <c r="AC33" s="29">
        <f t="shared" si="12"/>
        <v>29530.907900365146</v>
      </c>
      <c r="AD33" s="29">
        <f t="shared" si="12"/>
        <v>30121.526058372448</v>
      </c>
      <c r="AE33" s="29">
        <f t="shared" si="12"/>
        <v>30723.956579539899</v>
      </c>
      <c r="AF33" s="29">
        <f t="shared" si="12"/>
        <v>31338.435711130696</v>
      </c>
      <c r="AG33" s="29">
        <f t="shared" si="12"/>
        <v>31965.204425353309</v>
      </c>
      <c r="AH33" s="59">
        <f t="shared" si="12"/>
        <v>32604.508513860375</v>
      </c>
    </row>
    <row r="34" spans="2:34" ht="16.5" thickTop="1" thickBot="1">
      <c r="B34" s="60" t="s">
        <v>131</v>
      </c>
      <c r="C34" s="61"/>
      <c r="D34" s="112">
        <f>Zusammenfassung!E25</f>
        <v>174000</v>
      </c>
      <c r="E34" s="62">
        <f>SUM(E32:E33)</f>
        <v>177480</v>
      </c>
      <c r="F34" s="62">
        <f t="shared" ref="F34:AH34" si="13">SUM(F32:F33)</f>
        <v>181029.6</v>
      </c>
      <c r="G34" s="62">
        <f t="shared" si="13"/>
        <v>184650.19200000001</v>
      </c>
      <c r="H34" s="62">
        <f t="shared" si="13"/>
        <v>188343.19584</v>
      </c>
      <c r="I34" s="62">
        <f t="shared" si="13"/>
        <v>192110.05975680001</v>
      </c>
      <c r="J34" s="62">
        <f t="shared" si="13"/>
        <v>195952.26095193601</v>
      </c>
      <c r="K34" s="62">
        <f t="shared" si="13"/>
        <v>199871.30617097474</v>
      </c>
      <c r="L34" s="62">
        <f t="shared" si="13"/>
        <v>203868.73229439423</v>
      </c>
      <c r="M34" s="62">
        <f t="shared" si="13"/>
        <v>207946.1069402821</v>
      </c>
      <c r="N34" s="62">
        <f t="shared" si="13"/>
        <v>212105.02907908778</v>
      </c>
      <c r="O34" s="62">
        <f t="shared" si="13"/>
        <v>216347.12966066954</v>
      </c>
      <c r="P34" s="62">
        <f t="shared" si="13"/>
        <v>220674.07225388294</v>
      </c>
      <c r="Q34" s="62">
        <f t="shared" si="13"/>
        <v>225087.5536989606</v>
      </c>
      <c r="R34" s="62">
        <f t="shared" si="13"/>
        <v>229589.30477293982</v>
      </c>
      <c r="S34" s="62">
        <f t="shared" si="13"/>
        <v>234181.09086839863</v>
      </c>
      <c r="T34" s="62">
        <f t="shared" si="13"/>
        <v>238864.7126857666</v>
      </c>
      <c r="U34" s="62">
        <f t="shared" si="13"/>
        <v>243642.00693948194</v>
      </c>
      <c r="V34" s="62">
        <f t="shared" si="13"/>
        <v>248514.84707827159</v>
      </c>
      <c r="W34" s="62">
        <f t="shared" si="13"/>
        <v>253485.14401983703</v>
      </c>
      <c r="X34" s="62">
        <f t="shared" si="13"/>
        <v>258554.84690023377</v>
      </c>
      <c r="Y34" s="62">
        <f t="shared" si="13"/>
        <v>263725.94383823843</v>
      </c>
      <c r="Z34" s="62">
        <f t="shared" si="13"/>
        <v>269000.46271500323</v>
      </c>
      <c r="AA34" s="62">
        <f t="shared" si="13"/>
        <v>274380.47196930327</v>
      </c>
      <c r="AB34" s="62">
        <f t="shared" si="13"/>
        <v>279868.08140868938</v>
      </c>
      <c r="AC34" s="62">
        <f t="shared" si="13"/>
        <v>285465.44303686317</v>
      </c>
      <c r="AD34" s="62">
        <f t="shared" si="13"/>
        <v>291174.75189760042</v>
      </c>
      <c r="AE34" s="62">
        <f t="shared" si="13"/>
        <v>296998.24693555245</v>
      </c>
      <c r="AF34" s="62">
        <f t="shared" si="13"/>
        <v>302938.21187426348</v>
      </c>
      <c r="AG34" s="62">
        <f t="shared" si="13"/>
        <v>308996.97611174878</v>
      </c>
      <c r="AH34" s="63">
        <f t="shared" si="13"/>
        <v>315176.91563398379</v>
      </c>
    </row>
    <row r="36" spans="2:34">
      <c r="B36" s="21" t="s">
        <v>163</v>
      </c>
    </row>
    <row r="37" spans="2:34">
      <c r="B37" s="77" t="s">
        <v>164</v>
      </c>
      <c r="C37" s="80">
        <f>Randbedingungen!E29</f>
        <v>2.9033E-2</v>
      </c>
      <c r="D37" s="81">
        <f t="shared" ref="D37:AH37" si="14">1/(1+$C$37)^D1</f>
        <v>1</v>
      </c>
      <c r="E37" s="81">
        <f t="shared" si="14"/>
        <v>0.97178613319495089</v>
      </c>
      <c r="F37" s="81">
        <f t="shared" si="14"/>
        <v>0.94436828866999489</v>
      </c>
      <c r="G37" s="81">
        <f t="shared" si="14"/>
        <v>0.91772400755854766</v>
      </c>
      <c r="H37" s="81">
        <f t="shared" si="14"/>
        <v>0.8918314646454949</v>
      </c>
      <c r="I37" s="81">
        <f t="shared" si="14"/>
        <v>0.86666945048943522</v>
      </c>
      <c r="J37" s="81">
        <f t="shared" si="14"/>
        <v>0.84221735404932108</v>
      </c>
      <c r="K37" s="81">
        <f t="shared" si="14"/>
        <v>0.81845514580127288</v>
      </c>
      <c r="L37" s="81">
        <f t="shared" si="14"/>
        <v>0.79536336133172869</v>
      </c>
      <c r="M37" s="81">
        <f t="shared" si="14"/>
        <v>0.77292308539349919</v>
      </c>
      <c r="N37" s="81">
        <f t="shared" si="14"/>
        <v>0.75111593641165941</v>
      </c>
      <c r="O37" s="81">
        <f t="shared" si="14"/>
        <v>0.72992405142659122</v>
      </c>
      <c r="P37" s="81">
        <f t="shared" si="14"/>
        <v>0.70933007146183968</v>
      </c>
      <c r="Q37" s="81">
        <f t="shared" si="14"/>
        <v>0.68931712730479944</v>
      </c>
      <c r="R37" s="81">
        <f t="shared" si="14"/>
        <v>0.66986882568858264</v>
      </c>
      <c r="S37" s="81">
        <f t="shared" si="14"/>
        <v>0.65096923586375044</v>
      </c>
      <c r="T37" s="81">
        <f t="shared" si="14"/>
        <v>0.63260287654890601</v>
      </c>
      <c r="U37" s="81">
        <f t="shared" si="14"/>
        <v>0.61475470324946424</v>
      </c>
      <c r="V37" s="81">
        <f t="shared" si="14"/>
        <v>0.59741009593420646</v>
      </c>
      <c r="W37" s="81">
        <f t="shared" si="14"/>
        <v>0.5805548470595272</v>
      </c>
      <c r="X37" s="81">
        <f t="shared" si="14"/>
        <v>0.56417514993156404</v>
      </c>
      <c r="Y37" s="81">
        <f t="shared" si="14"/>
        <v>0.5482575873966764</v>
      </c>
      <c r="Z37" s="81">
        <f t="shared" si="14"/>
        <v>0.53278912085100893</v>
      </c>
      <c r="AA37" s="81">
        <f t="shared" si="14"/>
        <v>0.51775707956013939</v>
      </c>
      <c r="AB37" s="81">
        <f t="shared" si="14"/>
        <v>0.50314915028005847</v>
      </c>
      <c r="AC37" s="81">
        <f t="shared" si="14"/>
        <v>0.48895336717098326</v>
      </c>
      <c r="AD37" s="81">
        <f t="shared" si="14"/>
        <v>0.47515810199574093</v>
      </c>
      <c r="AE37" s="81">
        <f t="shared" si="14"/>
        <v>0.46175205459469321</v>
      </c>
      <c r="AF37" s="81">
        <f t="shared" si="14"/>
        <v>0.44872424362940083</v>
      </c>
      <c r="AG37" s="81">
        <f t="shared" si="14"/>
        <v>0.43606399758744457</v>
      </c>
      <c r="AH37" s="81">
        <f t="shared" si="14"/>
        <v>0.42376094604103498</v>
      </c>
    </row>
    <row r="38" spans="2:34">
      <c r="B38" s="77" t="s">
        <v>165</v>
      </c>
      <c r="C38" s="78"/>
      <c r="D38" s="79">
        <f>D10</f>
        <v>-330000</v>
      </c>
      <c r="E38" s="79">
        <f t="shared" ref="E38:AH38" si="15">E34-(E22+E18+E29+E10)</f>
        <v>23069.800000000017</v>
      </c>
      <c r="F38" s="79">
        <f t="shared" si="15"/>
        <v>25447.321600000054</v>
      </c>
      <c r="G38" s="79">
        <f t="shared" si="15"/>
        <v>27883.813139200065</v>
      </c>
      <c r="H38" s="79">
        <f t="shared" si="15"/>
        <v>30380.548897170462</v>
      </c>
      <c r="I38" s="79">
        <f t="shared" si="15"/>
        <v>-28503.389603797434</v>
      </c>
      <c r="J38" s="79">
        <f t="shared" si="15"/>
        <v>35559.98308376866</v>
      </c>
      <c r="K38" s="79">
        <f t="shared" si="15"/>
        <v>38245.364602605987</v>
      </c>
      <c r="L38" s="79">
        <f t="shared" si="15"/>
        <v>40996.35763648522</v>
      </c>
      <c r="M38" s="79">
        <f t="shared" si="15"/>
        <v>43814.374344050622</v>
      </c>
      <c r="N38" s="79">
        <f t="shared" si="15"/>
        <v>-21938.167529772472</v>
      </c>
      <c r="O38" s="79">
        <f t="shared" si="15"/>
        <v>49657.274461936264</v>
      </c>
      <c r="P38" s="79">
        <f t="shared" si="15"/>
        <v>52685.131044362148</v>
      </c>
      <c r="Q38" s="79">
        <f t="shared" si="15"/>
        <v>55785.958878384117</v>
      </c>
      <c r="R38" s="79">
        <f t="shared" si="15"/>
        <v>58961.322679054691</v>
      </c>
      <c r="S38" s="79">
        <f t="shared" si="15"/>
        <v>-167823.57726865142</v>
      </c>
      <c r="T38" s="79">
        <f t="shared" si="15"/>
        <v>65542.079733130464</v>
      </c>
      <c r="U38" s="79">
        <f t="shared" si="15"/>
        <v>68950.767107762571</v>
      </c>
      <c r="V38" s="79">
        <f t="shared" si="15"/>
        <v>72440.580055427679</v>
      </c>
      <c r="W38" s="79">
        <f t="shared" si="15"/>
        <v>76013.252074639284</v>
      </c>
      <c r="X38" s="79">
        <f t="shared" si="15"/>
        <v>-5989.7306656105211</v>
      </c>
      <c r="Y38" s="79">
        <f t="shared" si="15"/>
        <v>83414.287311255408</v>
      </c>
      <c r="Z38" s="79">
        <f t="shared" si="15"/>
        <v>87246.299724627985</v>
      </c>
      <c r="AA38" s="79">
        <f t="shared" si="15"/>
        <v>91168.471109329053</v>
      </c>
      <c r="AB38" s="79">
        <f t="shared" si="15"/>
        <v>95182.721686955891</v>
      </c>
      <c r="AC38" s="79">
        <f t="shared" si="15"/>
        <v>3597.2313693576143</v>
      </c>
      <c r="AD38" s="79">
        <f t="shared" si="15"/>
        <v>103495.34041876817</v>
      </c>
      <c r="AE38" s="79">
        <f t="shared" si="15"/>
        <v>107797.75057003467</v>
      </c>
      <c r="AF38" s="79">
        <f t="shared" si="15"/>
        <v>112200.3255752672</v>
      </c>
      <c r="AG38" s="79">
        <f t="shared" si="15"/>
        <v>116705.1922112527</v>
      </c>
      <c r="AH38" s="79">
        <f t="shared" si="15"/>
        <v>121314.52112597215</v>
      </c>
    </row>
    <row r="39" spans="2:34">
      <c r="B39" s="77" t="s">
        <v>166</v>
      </c>
      <c r="C39" s="78"/>
      <c r="D39" s="79">
        <f t="shared" ref="D39:AH39" si="16">D38*D37</f>
        <v>-330000</v>
      </c>
      <c r="E39" s="79">
        <f t="shared" si="16"/>
        <v>22418.911735580896</v>
      </c>
      <c r="F39" s="79">
        <f t="shared" si="16"/>
        <v>24031.643550627046</v>
      </c>
      <c r="G39" s="79">
        <f t="shared" si="16"/>
        <v>25589.64474012037</v>
      </c>
      <c r="H39" s="79">
        <f t="shared" si="16"/>
        <v>27094.329419697609</v>
      </c>
      <c r="I39" s="79">
        <f t="shared" si="16"/>
        <v>-24703.017005009402</v>
      </c>
      <c r="J39" s="79">
        <f t="shared" si="16"/>
        <v>29949.234862850259</v>
      </c>
      <c r="K39" s="79">
        <f t="shared" si="16"/>
        <v>31302.115462048725</v>
      </c>
      <c r="L39" s="79">
        <f t="shared" si="16"/>
        <v>32607.000812112568</v>
      </c>
      <c r="M39" s="79">
        <f t="shared" si="16"/>
        <v>33865.141402589376</v>
      </c>
      <c r="N39" s="79">
        <f t="shared" si="16"/>
        <v>-16478.10724728091</v>
      </c>
      <c r="O39" s="79">
        <f t="shared" si="16"/>
        <v>36246.038958058722</v>
      </c>
      <c r="P39" s="79">
        <f t="shared" si="16"/>
        <v>37371.147768673793</v>
      </c>
      <c r="Q39" s="79">
        <f t="shared" si="16"/>
        <v>38454.216917991413</v>
      </c>
      <c r="R39" s="79">
        <f t="shared" si="16"/>
        <v>39496.351984063964</v>
      </c>
      <c r="S39" s="79">
        <f t="shared" si="16"/>
        <v>-109247.9858544951</v>
      </c>
      <c r="T39" s="79">
        <f t="shared" si="16"/>
        <v>41462.108174176086</v>
      </c>
      <c r="U39" s="79">
        <f t="shared" si="16"/>
        <v>42387.808372155501</v>
      </c>
      <c r="V39" s="79">
        <f t="shared" si="16"/>
        <v>43276.733880442611</v>
      </c>
      <c r="W39" s="79">
        <f t="shared" si="16"/>
        <v>44129.861932689499</v>
      </c>
      <c r="X39" s="79">
        <f t="shared" si="16"/>
        <v>-3379.2571963205028</v>
      </c>
      <c r="Y39" s="79">
        <f t="shared" si="16"/>
        <v>45732.515915682088</v>
      </c>
      <c r="Z39" s="79">
        <f t="shared" si="16"/>
        <v>46483.87932778817</v>
      </c>
      <c r="AA39" s="79">
        <f t="shared" si="16"/>
        <v>47203.121349529152</v>
      </c>
      <c r="AB39" s="79">
        <f t="shared" si="16"/>
        <v>47891.105538135147</v>
      </c>
      <c r="AC39" s="79">
        <f t="shared" si="16"/>
        <v>1758.8783905404925</v>
      </c>
      <c r="AD39" s="79">
        <f t="shared" si="16"/>
        <v>49176.64951878498</v>
      </c>
      <c r="AE39" s="79">
        <f t="shared" si="16"/>
        <v>49775.832806399769</v>
      </c>
      <c r="AF39" s="79">
        <f t="shared" si="16"/>
        <v>50347.006228734288</v>
      </c>
      <c r="AG39" s="79">
        <f t="shared" si="16"/>
        <v>50890.932654849952</v>
      </c>
      <c r="AH39" s="79">
        <f t="shared" si="16"/>
        <v>51408.356240857087</v>
      </c>
    </row>
    <row r="40" spans="2:34">
      <c r="B40" s="77" t="s">
        <v>215</v>
      </c>
      <c r="C40" s="78"/>
      <c r="D40" s="79">
        <f>D39</f>
        <v>-330000</v>
      </c>
      <c r="E40" s="79">
        <f>D40+E39</f>
        <v>-307581.08826441912</v>
      </c>
      <c r="F40" s="79">
        <f t="shared" ref="F40:AH40" si="17">E40+F39</f>
        <v>-283549.44471379207</v>
      </c>
      <c r="G40" s="79">
        <f t="shared" si="17"/>
        <v>-257959.7999736717</v>
      </c>
      <c r="H40" s="79">
        <f t="shared" si="17"/>
        <v>-230865.4705539741</v>
      </c>
      <c r="I40" s="79">
        <f t="shared" si="17"/>
        <v>-255568.4875589835</v>
      </c>
      <c r="J40" s="79">
        <f t="shared" si="17"/>
        <v>-225619.25269613325</v>
      </c>
      <c r="K40" s="79">
        <f t="shared" si="17"/>
        <v>-194317.13723408451</v>
      </c>
      <c r="L40" s="79">
        <f t="shared" si="17"/>
        <v>-161710.13642197195</v>
      </c>
      <c r="M40" s="79">
        <f t="shared" si="17"/>
        <v>-127844.99501938258</v>
      </c>
      <c r="N40" s="79">
        <f t="shared" si="17"/>
        <v>-144323.10226666348</v>
      </c>
      <c r="O40" s="79">
        <f t="shared" si="17"/>
        <v>-108077.06330860476</v>
      </c>
      <c r="P40" s="79">
        <f t="shared" si="17"/>
        <v>-70705.915539930967</v>
      </c>
      <c r="Q40" s="79">
        <f t="shared" si="17"/>
        <v>-32251.698621939555</v>
      </c>
      <c r="R40" s="79">
        <f t="shared" si="17"/>
        <v>7244.6533621244089</v>
      </c>
      <c r="S40" s="79">
        <f t="shared" si="17"/>
        <v>-102003.33249237068</v>
      </c>
      <c r="T40" s="79">
        <f t="shared" si="17"/>
        <v>-60541.224318194596</v>
      </c>
      <c r="U40" s="79">
        <f t="shared" si="17"/>
        <v>-18153.415946039095</v>
      </c>
      <c r="V40" s="79">
        <f t="shared" si="17"/>
        <v>25123.317934403516</v>
      </c>
      <c r="W40" s="79">
        <f t="shared" si="17"/>
        <v>69253.179867093015</v>
      </c>
      <c r="X40" s="79">
        <f t="shared" si="17"/>
        <v>65873.922670772517</v>
      </c>
      <c r="Y40" s="79">
        <f t="shared" si="17"/>
        <v>111606.43858645461</v>
      </c>
      <c r="Z40" s="79">
        <f t="shared" si="17"/>
        <v>158090.31791424277</v>
      </c>
      <c r="AA40" s="79">
        <f t="shared" si="17"/>
        <v>205293.43926377193</v>
      </c>
      <c r="AB40" s="79">
        <f t="shared" si="17"/>
        <v>253184.54480190709</v>
      </c>
      <c r="AC40" s="79">
        <f t="shared" si="17"/>
        <v>254943.42319244758</v>
      </c>
      <c r="AD40" s="79">
        <f t="shared" si="17"/>
        <v>304120.07271123258</v>
      </c>
      <c r="AE40" s="79">
        <f t="shared" si="17"/>
        <v>353895.90551763237</v>
      </c>
      <c r="AF40" s="79">
        <f t="shared" si="17"/>
        <v>404242.91174636665</v>
      </c>
      <c r="AG40" s="79">
        <f t="shared" si="17"/>
        <v>455133.8444012166</v>
      </c>
      <c r="AH40" s="79">
        <f t="shared" si="17"/>
        <v>506542.2006420737</v>
      </c>
    </row>
    <row r="41" spans="2:34">
      <c r="B41" s="248" t="s">
        <v>214</v>
      </c>
      <c r="D41" s="249"/>
      <c r="E41" s="249">
        <f>IF(E40&lt;=0,0,1)</f>
        <v>0</v>
      </c>
      <c r="F41" s="249">
        <f t="shared" ref="F41:AH41" si="18">IF(F40&lt;=0,0,1)</f>
        <v>0</v>
      </c>
      <c r="G41" s="249">
        <f t="shared" si="18"/>
        <v>0</v>
      </c>
      <c r="H41" s="249">
        <f t="shared" si="18"/>
        <v>0</v>
      </c>
      <c r="I41" s="249">
        <f t="shared" si="18"/>
        <v>0</v>
      </c>
      <c r="J41" s="249">
        <f t="shared" si="18"/>
        <v>0</v>
      </c>
      <c r="K41" s="249">
        <f t="shared" si="18"/>
        <v>0</v>
      </c>
      <c r="L41" s="249">
        <f t="shared" si="18"/>
        <v>0</v>
      </c>
      <c r="M41" s="249">
        <f t="shared" si="18"/>
        <v>0</v>
      </c>
      <c r="N41" s="249">
        <f t="shared" si="18"/>
        <v>0</v>
      </c>
      <c r="O41" s="249">
        <f t="shared" si="18"/>
        <v>0</v>
      </c>
      <c r="P41" s="249">
        <f t="shared" si="18"/>
        <v>0</v>
      </c>
      <c r="Q41" s="249">
        <f t="shared" si="18"/>
        <v>0</v>
      </c>
      <c r="R41" s="249">
        <f t="shared" si="18"/>
        <v>1</v>
      </c>
      <c r="S41" s="249">
        <f t="shared" si="18"/>
        <v>0</v>
      </c>
      <c r="T41" s="249">
        <f t="shared" si="18"/>
        <v>0</v>
      </c>
      <c r="U41" s="249">
        <f t="shared" si="18"/>
        <v>0</v>
      </c>
      <c r="V41" s="249">
        <f t="shared" si="18"/>
        <v>1</v>
      </c>
      <c r="W41" s="249">
        <f t="shared" si="18"/>
        <v>1</v>
      </c>
      <c r="X41" s="249">
        <f t="shared" si="18"/>
        <v>1</v>
      </c>
      <c r="Y41" s="249">
        <f t="shared" si="18"/>
        <v>1</v>
      </c>
      <c r="Z41" s="249">
        <f t="shared" si="18"/>
        <v>1</v>
      </c>
      <c r="AA41" s="249">
        <f t="shared" si="18"/>
        <v>1</v>
      </c>
      <c r="AB41" s="249">
        <f t="shared" si="18"/>
        <v>1</v>
      </c>
      <c r="AC41" s="249">
        <f t="shared" si="18"/>
        <v>1</v>
      </c>
      <c r="AD41" s="249">
        <f t="shared" si="18"/>
        <v>1</v>
      </c>
      <c r="AE41" s="249">
        <f t="shared" si="18"/>
        <v>1</v>
      </c>
      <c r="AF41" s="249">
        <f t="shared" si="18"/>
        <v>1</v>
      </c>
      <c r="AG41" s="249">
        <f t="shared" si="18"/>
        <v>1</v>
      </c>
      <c r="AH41" s="249">
        <f t="shared" si="18"/>
        <v>1</v>
      </c>
    </row>
    <row r="42" spans="2:34" ht="15.75" thickBot="1">
      <c r="C42" s="30"/>
      <c r="D42" s="21" t="s">
        <v>167</v>
      </c>
    </row>
    <row r="43" spans="2:34">
      <c r="B43" s="75" t="s">
        <v>168</v>
      </c>
      <c r="C43" s="73">
        <f>ROUND(SUM(D39:AH39),0)</f>
        <v>506542</v>
      </c>
      <c r="D43" s="450" t="str">
        <f>IF(C43=C44,"Erfolgreich","Fehlerhaft")</f>
        <v>Erfolgreich</v>
      </c>
    </row>
    <row r="44" spans="2:34" ht="15.75" thickBot="1">
      <c r="B44" s="76" t="s">
        <v>169</v>
      </c>
      <c r="C44" s="74">
        <f>ROUND(NPV(C37,E38:AH38)+D38,0)</f>
        <v>506542</v>
      </c>
      <c r="D44" s="451"/>
    </row>
    <row r="45" spans="2:34" ht="15.75" thickBot="1"/>
    <row r="46" spans="2:34" ht="15.75" thickBot="1">
      <c r="B46" s="228" t="s">
        <v>170</v>
      </c>
      <c r="C46" s="229">
        <f>(C37*(1+C37)^30)/((1+C37)^30-1)</f>
        <v>5.0383603472435742E-2</v>
      </c>
      <c r="D46" s="230" t="s">
        <v>167</v>
      </c>
    </row>
    <row r="47" spans="2:34">
      <c r="B47" s="75" t="s">
        <v>171</v>
      </c>
      <c r="C47" s="73">
        <f>ROUND(C43*C46,0)</f>
        <v>25521</v>
      </c>
      <c r="D47" s="450" t="str">
        <f>IF(C47=C48,"Erfolgreich","Fehlerhaft")</f>
        <v>Erfolgreich</v>
      </c>
      <c r="G47" s="31"/>
      <c r="H47" s="32"/>
      <c r="I47" s="33"/>
    </row>
    <row r="48" spans="2:34" ht="15.75" thickBot="1">
      <c r="B48" s="76" t="s">
        <v>172</v>
      </c>
      <c r="C48" s="74">
        <f>ROUND(PMT(C37,Randbedingungen!E5,-C44),0)</f>
        <v>25521</v>
      </c>
      <c r="D48" s="451"/>
      <c r="G48" s="31"/>
      <c r="H48" s="32"/>
      <c r="I48" s="33"/>
    </row>
    <row r="49" spans="2:9">
      <c r="G49" s="31"/>
      <c r="H49" s="32"/>
      <c r="I49" s="33"/>
    </row>
    <row r="50" spans="2:9">
      <c r="G50" s="31"/>
      <c r="H50" s="32"/>
      <c r="I50" s="33"/>
    </row>
    <row r="51" spans="2:9">
      <c r="G51" s="31"/>
      <c r="H51" s="32"/>
    </row>
    <row r="52" spans="2:9" ht="15.75" thickBot="1">
      <c r="C52" s="69" t="s">
        <v>260</v>
      </c>
      <c r="D52" s="69" t="s">
        <v>201</v>
      </c>
    </row>
    <row r="53" spans="2:9">
      <c r="B53" s="218" t="s">
        <v>125</v>
      </c>
      <c r="C53" s="275">
        <f>ROUND(NPV(C37,E10:AH10),0)*(-1)+D10</f>
        <v>-679670</v>
      </c>
      <c r="D53" s="219">
        <f>C53*$C$46</f>
        <v>-34244.223772110403</v>
      </c>
    </row>
    <row r="54" spans="2:9">
      <c r="B54" s="220" t="s">
        <v>1</v>
      </c>
      <c r="C54" s="274">
        <f>ROUND(NPV(C37,E18:AH18),0)*(-1)</f>
        <v>-1421609</v>
      </c>
      <c r="D54" s="221">
        <f t="shared" ref="D54:D57" si="19">C54*$C$46</f>
        <v>-71625.784148845909</v>
      </c>
    </row>
    <row r="55" spans="2:9">
      <c r="B55" s="220" t="s">
        <v>26</v>
      </c>
      <c r="C55" s="274">
        <f>ROUND(NPV(C37,E22:AH22),0)*(-1)</f>
        <v>-615395</v>
      </c>
      <c r="D55" s="221">
        <f t="shared" si="19"/>
        <v>-31005.817658919594</v>
      </c>
    </row>
    <row r="56" spans="2:9">
      <c r="B56" s="220" t="s">
        <v>69</v>
      </c>
      <c r="C56" s="274">
        <f>ROUND(NPV(C37,E29:AH29),0)*(-1)</f>
        <v>-1343278</v>
      </c>
      <c r="D56" s="221">
        <f t="shared" si="19"/>
        <v>-67679.186105246539</v>
      </c>
    </row>
    <row r="57" spans="2:9" ht="15.75" thickBot="1">
      <c r="B57" s="222" t="s">
        <v>139</v>
      </c>
      <c r="C57" s="276">
        <f>ROUND(NPV(C37,E34:AH34),0)</f>
        <v>4566494</v>
      </c>
      <c r="D57" s="223">
        <f t="shared" si="19"/>
        <v>230076.42295525697</v>
      </c>
    </row>
    <row r="58" spans="2:9" ht="15.75" thickBot="1"/>
    <row r="59" spans="2:9" ht="15.75" thickBot="1">
      <c r="B59" s="251" t="s">
        <v>134</v>
      </c>
      <c r="C59" s="277">
        <f>C57+C56+C55+C54+C53</f>
        <v>506542</v>
      </c>
      <c r="D59" s="225">
        <f>D57+D56+D55+D54+D53</f>
        <v>25521.411270134544</v>
      </c>
    </row>
  </sheetData>
  <sheetProtection algorithmName="SHA-512" hashValue="JiVgQNz1SfwCSXDWi8uL9hl2QffSNB2T1sJDou31g83wiitqcdD72TdhFK+w2Ld0WkSO/O6OCLzYwZNpc2vAQA==" saltValue="I672x7HWkQxwbtqLuGlqIw==" spinCount="100000" sheet="1" objects="1" scenarios="1"/>
  <mergeCells count="2">
    <mergeCell ref="D43:D44"/>
    <mergeCell ref="D47:D48"/>
  </mergeCells>
  <conditionalFormatting sqref="D43">
    <cfRule type="containsText" dxfId="11" priority="3" operator="containsText" text="Fehlerhaft">
      <formula>NOT(ISERROR(SEARCH("Fehlerhaft",D43)))</formula>
    </cfRule>
    <cfRule type="containsText" dxfId="10" priority="4" operator="containsText" text="Erfolgreich">
      <formula>NOT(ISERROR(SEARCH("Erfolgreich",D43)))</formula>
    </cfRule>
  </conditionalFormatting>
  <conditionalFormatting sqref="D47:D48">
    <cfRule type="containsText" dxfId="9" priority="1" operator="containsText" text="Fehlerhaft">
      <formula>NOT(ISERROR(SEARCH("Fehlerhaft",D47)))</formula>
    </cfRule>
    <cfRule type="containsText" dxfId="8" priority="2" operator="containsText" text="Erfolgreich">
      <formula>NOT(ISERROR(SEARCH("Erfolgreich",D47)))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571A5-4470-4B2F-A938-F496E06DE0B9}">
  <sheetPr>
    <tabColor theme="9"/>
  </sheetPr>
  <dimension ref="A1:BJ58"/>
  <sheetViews>
    <sheetView showGridLines="0" showOutlineSymbols="0" showWhiteSpace="0" topLeftCell="A9" zoomScaleNormal="100" workbookViewId="0">
      <selection activeCell="G25" sqref="G25"/>
    </sheetView>
  </sheetViews>
  <sheetFormatPr baseColWidth="10" defaultColWidth="11.42578125" defaultRowHeight="15" outlineLevelCol="1"/>
  <cols>
    <col min="1" max="1" width="7.5703125" customWidth="1"/>
    <col min="2" max="2" width="20.42578125" customWidth="1"/>
    <col min="3" max="3" width="15.140625" customWidth="1"/>
    <col min="4" max="4" width="14.5703125" bestFit="1" customWidth="1"/>
    <col min="5" max="34" width="15.7109375" customWidth="1" outlineLevel="1"/>
  </cols>
  <sheetData>
    <row r="1" spans="1:62" s="23" customFormat="1" ht="31.5" customHeight="1">
      <c r="B1" s="35" t="s">
        <v>154</v>
      </c>
      <c r="C1" s="35" t="s">
        <v>150</v>
      </c>
      <c r="D1" s="35">
        <v>0</v>
      </c>
      <c r="E1" s="35">
        <v>1</v>
      </c>
      <c r="F1" s="35">
        <v>2</v>
      </c>
      <c r="G1" s="35">
        <v>3</v>
      </c>
      <c r="H1" s="35">
        <v>4</v>
      </c>
      <c r="I1" s="35">
        <v>5</v>
      </c>
      <c r="J1" s="35">
        <v>6</v>
      </c>
      <c r="K1" s="35">
        <v>7</v>
      </c>
      <c r="L1" s="35">
        <v>8</v>
      </c>
      <c r="M1" s="35">
        <v>9</v>
      </c>
      <c r="N1" s="35">
        <v>10</v>
      </c>
      <c r="O1" s="35">
        <v>11</v>
      </c>
      <c r="P1" s="35">
        <v>12</v>
      </c>
      <c r="Q1" s="35">
        <v>13</v>
      </c>
      <c r="R1" s="35">
        <v>14</v>
      </c>
      <c r="S1" s="35">
        <v>15</v>
      </c>
      <c r="T1" s="35">
        <v>16</v>
      </c>
      <c r="U1" s="35">
        <v>17</v>
      </c>
      <c r="V1" s="35">
        <v>18</v>
      </c>
      <c r="W1" s="35">
        <v>19</v>
      </c>
      <c r="X1" s="35">
        <v>20</v>
      </c>
      <c r="Y1" s="35">
        <v>21</v>
      </c>
      <c r="Z1" s="35">
        <v>22</v>
      </c>
      <c r="AA1" s="35">
        <v>23</v>
      </c>
      <c r="AB1" s="35">
        <v>24</v>
      </c>
      <c r="AC1" s="35">
        <v>25</v>
      </c>
      <c r="AD1" s="35">
        <v>26</v>
      </c>
      <c r="AE1" s="35">
        <v>27</v>
      </c>
      <c r="AF1" s="35">
        <v>28</v>
      </c>
      <c r="AG1" s="35">
        <v>29</v>
      </c>
      <c r="AH1" s="35">
        <v>30</v>
      </c>
    </row>
    <row r="3" spans="1:62" ht="15.75" thickBot="1"/>
    <row r="4" spans="1:62">
      <c r="B4" s="36" t="s">
        <v>126</v>
      </c>
      <c r="C4" s="210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8"/>
    </row>
    <row r="5" spans="1:62">
      <c r="B5" s="39" t="s">
        <v>155</v>
      </c>
      <c r="C5" s="67">
        <f>Zusammenfassung!F4</f>
        <v>0</v>
      </c>
      <c r="D5" s="14">
        <f>C5*-1</f>
        <v>0</v>
      </c>
      <c r="E5" s="209">
        <f>IF(AND(MOD(E1,Randbedingungen!$E$11)=0,E1&lt;Randbedingungen!$E$5),$D$5*Randbedingungen!$E$18,0)</f>
        <v>0</v>
      </c>
      <c r="F5" s="209">
        <f>IF(AND(MOD(F1,Randbedingungen!$E$11)=0,F1&lt;Randbedingungen!$E$5),$D$5*Randbedingungen!$E$18,0)</f>
        <v>0</v>
      </c>
      <c r="G5" s="209">
        <f>IF(AND(MOD(G1,Randbedingungen!$E$11)=0,G1&lt;Randbedingungen!$E$5),$D$5*Randbedingungen!$E$18,0)</f>
        <v>0</v>
      </c>
      <c r="H5" s="209">
        <f>IF(AND(MOD(H1,Randbedingungen!$E$11)=0,H1&lt;Randbedingungen!$E$5),$D$5*Randbedingungen!$E$18,0)</f>
        <v>0</v>
      </c>
      <c r="I5" s="209">
        <f>IF(AND(MOD(I1,Randbedingungen!$E$11)=0,I1&lt;Randbedingungen!$E$5),$D$5*Randbedingungen!$E$18,0)</f>
        <v>0</v>
      </c>
      <c r="J5" s="209">
        <f>IF(AND(MOD(J1,Randbedingungen!$E$11)=0,J1&lt;Randbedingungen!$E$5),$D$5*Randbedingungen!$E$18,0)</f>
        <v>0</v>
      </c>
      <c r="K5" s="209">
        <f>IF(AND(MOD(K1,Randbedingungen!$E$11)=0,K1&lt;Randbedingungen!$E$5),$D$5*Randbedingungen!$E$18,0)</f>
        <v>0</v>
      </c>
      <c r="L5" s="209">
        <f>IF(AND(MOD(L1,Randbedingungen!$E$11)=0,L1&lt;Randbedingungen!$E$5),$D$5*Randbedingungen!$E$18,0)</f>
        <v>0</v>
      </c>
      <c r="M5" s="209">
        <f>IF(AND(MOD(M1,Randbedingungen!$E$11)=0,M1&lt;Randbedingungen!$E$5),$D$5*Randbedingungen!$E$18,0)</f>
        <v>0</v>
      </c>
      <c r="N5" s="209">
        <f>IF(AND(MOD(N1,Randbedingungen!$E$11)=0,N1&lt;Randbedingungen!$E$5),$D$5*Randbedingungen!$E$18,0)</f>
        <v>0</v>
      </c>
      <c r="O5" s="209">
        <f>IF(AND(MOD(O1,Randbedingungen!$E$11)=0,O1&lt;Randbedingungen!$E$5),$D$5*Randbedingungen!$E$18,0)</f>
        <v>0</v>
      </c>
      <c r="P5" s="209">
        <f>IF(AND(MOD(P1,Randbedingungen!$E$11)=0,P1&lt;Randbedingungen!$E$5),$D$5*Randbedingungen!$E$18,0)</f>
        <v>0</v>
      </c>
      <c r="Q5" s="209">
        <f>IF(AND(MOD(Q1,Randbedingungen!$E$11)=0,Q1&lt;Randbedingungen!$E$5),$D$5*Randbedingungen!$E$18,0)</f>
        <v>0</v>
      </c>
      <c r="R5" s="209">
        <f>IF(AND(MOD(R1,Randbedingungen!$E$11)=0,R1&lt;Randbedingungen!$E$5),$D$5*Randbedingungen!$E$18,0)</f>
        <v>0</v>
      </c>
      <c r="S5" s="209">
        <f>IF(AND(MOD(S1,Randbedingungen!$E$11)=0,S1&lt;Randbedingungen!$E$5),$D$5*Randbedingungen!$E$18,0)</f>
        <v>0</v>
      </c>
      <c r="T5" s="209">
        <f>IF(AND(MOD(T1,Randbedingungen!$E$11)=0,T1&lt;Randbedingungen!$E$5),$D$5*Randbedingungen!$E$18,0)</f>
        <v>0</v>
      </c>
      <c r="U5" s="209">
        <f>IF(AND(MOD(U1,Randbedingungen!$E$11)=0,U1&lt;Randbedingungen!$E$5),$D$5*Randbedingungen!$E$18,0)</f>
        <v>0</v>
      </c>
      <c r="V5" s="209">
        <f>IF(AND(MOD(V1,Randbedingungen!$E$11)=0,V1&lt;Randbedingungen!$E$5),$D$5*Randbedingungen!$E$18,0)</f>
        <v>0</v>
      </c>
      <c r="W5" s="209">
        <f>IF(AND(MOD(W1,Randbedingungen!$E$11)=0,W1&lt;Randbedingungen!$E$5),$D$5*Randbedingungen!$E$18,0)</f>
        <v>0</v>
      </c>
      <c r="X5" s="209">
        <f>IF(AND(MOD(X1,Randbedingungen!$E$11)=0,X1&lt;Randbedingungen!$E$5),$D$5*Randbedingungen!$E$18,0)</f>
        <v>0</v>
      </c>
      <c r="Y5" s="209">
        <f>IF(AND(MOD(Y1,Randbedingungen!$E$11)=0,Y1&lt;Randbedingungen!$E$5),$D$5*Randbedingungen!$E$18,0)</f>
        <v>0</v>
      </c>
      <c r="Z5" s="209">
        <f>IF(AND(MOD(Z1,Randbedingungen!$E$11)=0,Z1&lt;Randbedingungen!$E$5),$D$5*Randbedingungen!$E$18,0)</f>
        <v>0</v>
      </c>
      <c r="AA5" s="209">
        <f>IF(AND(MOD(AA1,Randbedingungen!$E$11)=0,AA1&lt;Randbedingungen!$E$5),$D$5*Randbedingungen!$E$18,0)</f>
        <v>0</v>
      </c>
      <c r="AB5" s="209">
        <f>IF(AND(MOD(AB1,Randbedingungen!$E$11)=0,AB1&lt;Randbedingungen!$E$5),$D$5*Randbedingungen!$E$18,0)</f>
        <v>0</v>
      </c>
      <c r="AC5" s="209">
        <f>IF(AND(MOD(AC1,Randbedingungen!$E$11)=0,AC1&lt;Randbedingungen!$E$5),$D$5*Randbedingungen!$E$18,0)</f>
        <v>0</v>
      </c>
      <c r="AD5" s="209">
        <f>IF(AND(MOD(AD1,Randbedingungen!$E$11)=0,AD1&lt;Randbedingungen!$E$5),$D$5*Randbedingungen!$E$18,0)</f>
        <v>0</v>
      </c>
      <c r="AE5" s="209">
        <f>IF(AND(MOD(AE1,Randbedingungen!$E$11)=0,AE1&lt;Randbedingungen!$E$5),$D$5*Randbedingungen!$E$18,0)</f>
        <v>0</v>
      </c>
      <c r="AF5" s="209">
        <f>IF(AND(MOD(AF1,Randbedingungen!$E$11)=0,AF1&lt;Randbedingungen!$E$5),$D$5*Randbedingungen!$E$18,0)</f>
        <v>0</v>
      </c>
      <c r="AG5" s="209">
        <f>IF(AND(MOD(AG1,Randbedingungen!$E$11)=0,AG1&lt;Randbedingungen!$E$5),$D$5*Randbedingungen!$E$18,0)</f>
        <v>0</v>
      </c>
      <c r="AH5" s="12">
        <f>IF(AND(MOD(AH1,Randbedingungen!$E$11)=0,AH1&lt;Randbedingungen!$E$5),$D$5*Randbedingungen!$E$18,0)</f>
        <v>0</v>
      </c>
    </row>
    <row r="6" spans="1:62">
      <c r="B6" s="42" t="s">
        <v>156</v>
      </c>
      <c r="C6" s="68"/>
      <c r="AH6" s="5"/>
    </row>
    <row r="7" spans="1:62">
      <c r="B7" s="40" t="s">
        <v>155</v>
      </c>
      <c r="C7" s="67">
        <f>Zusammenfassung!F5</f>
        <v>178750</v>
      </c>
      <c r="D7" s="14">
        <f>C7*-1</f>
        <v>-178750</v>
      </c>
      <c r="E7" s="209">
        <f>IF(AND(MOD(E1,Randbedingungen!$E$12)=0,E1&lt;Randbedingungen!$E$5),$D$7*Randbedingungen!$E$19,0)*(1+Randbedingungen!$E$32)^E1</f>
        <v>0</v>
      </c>
      <c r="F7" s="209">
        <f>IF(AND(MOD(F1,Randbedingungen!$E$12)=0,F1&lt;Randbedingungen!$E$5),$D$7*Randbedingungen!$E$19,0)*(1+Randbedingungen!$E$32)^F1</f>
        <v>0</v>
      </c>
      <c r="G7" s="209">
        <f>IF(AND(MOD(G1,Randbedingungen!$E$12)=0,G1&lt;Randbedingungen!$E$5),$D$7*Randbedingungen!$E$19,0)*(1+Randbedingungen!$E$32)^G1</f>
        <v>0</v>
      </c>
      <c r="H7" s="209">
        <f>IF(AND(MOD(H1,Randbedingungen!$E$12)=0,H1&lt;Randbedingungen!$E$5),$D$7*Randbedingungen!$E$19,0)*(1+Randbedingungen!$E$32)^H1</f>
        <v>0</v>
      </c>
      <c r="I7" s="209">
        <f>IF(AND(MOD(I1,Randbedingungen!$E$12)=0,I1&lt;Randbedingungen!$E$5),$D$7*Randbedingungen!$E$19,0)*(1+Randbedingungen!$E$32)^I1</f>
        <v>0</v>
      </c>
      <c r="J7" s="209">
        <f>IF(AND(MOD(J1,Randbedingungen!$E$12)=0,J1&lt;Randbedingungen!$E$5),$D$7*Randbedingungen!$E$19,0)*(1+Randbedingungen!$E$32)^J1</f>
        <v>0</v>
      </c>
      <c r="K7" s="209">
        <f>IF(AND(MOD(K1,Randbedingungen!$E$12)=0,K1&lt;Randbedingungen!$E$5),$D$7*Randbedingungen!$E$19,0)*(1+Randbedingungen!$E$32)^K1</f>
        <v>0</v>
      </c>
      <c r="L7" s="209">
        <f>IF(AND(MOD(L1,Randbedingungen!$E$12)=0,L1&lt;Randbedingungen!$E$5),$D$7*Randbedingungen!$E$19,0)*(1+Randbedingungen!$E$32)^L1</f>
        <v>0</v>
      </c>
      <c r="M7" s="209">
        <f>IF(AND(MOD(M1,Randbedingungen!$E$12)=0,M1&lt;Randbedingungen!$E$5),$D$7*Randbedingungen!$E$19,0)*(1+Randbedingungen!$E$32)^M1</f>
        <v>0</v>
      </c>
      <c r="N7" s="209">
        <f>IF(AND(MOD(N1,Randbedingungen!$E$12)=0,N1&lt;Randbedingungen!$E$5),$D$7*Randbedingungen!$E$19,0)*(1+Randbedingungen!$E$32)^N1</f>
        <v>0</v>
      </c>
      <c r="O7" s="209">
        <f>IF(AND(MOD(O1,Randbedingungen!$E$12)=0,O1&lt;Randbedingungen!$E$5),$D$7*Randbedingungen!$E$19,0)*(1+Randbedingungen!$E$32)^O1</f>
        <v>0</v>
      </c>
      <c r="P7" s="209">
        <f>IF(AND(MOD(P1,Randbedingungen!$E$12)=0,P1&lt;Randbedingungen!$E$5),$D$7*Randbedingungen!$E$19,0)*(1+Randbedingungen!$E$32)^P1</f>
        <v>0</v>
      </c>
      <c r="Q7" s="209">
        <f>IF(AND(MOD(Q1,Randbedingungen!$E$12)=0,Q1&lt;Randbedingungen!$E$5),$D$7*Randbedingungen!$E$19,0)*(1+Randbedingungen!$E$32)^Q1</f>
        <v>0</v>
      </c>
      <c r="R7" s="209">
        <f>IF(AND(MOD(R1,Randbedingungen!$E$12)=0,R1&lt;Randbedingungen!$E$5),$D$7*Randbedingungen!$E$19,0)*(1+Randbedingungen!$E$32)^R1</f>
        <v>0</v>
      </c>
      <c r="S7" s="209">
        <f>IF(AND(MOD(S1,Randbedingungen!$E$12)=0,S1&lt;Randbedingungen!$E$5),$D$7*Randbedingungen!$E$19,0)*(1+Randbedingungen!$E$32)^S1</f>
        <v>-99682.438629042372</v>
      </c>
      <c r="T7" s="209">
        <f>IF(AND(MOD(T1,Randbedingungen!$E$12)=0,T1&lt;Randbedingungen!$E$5),$D$7*Randbedingungen!$E$19,0)*(1+Randbedingungen!$E$32)^T1</f>
        <v>0</v>
      </c>
      <c r="U7" s="209">
        <f>IF(AND(MOD(U1,Randbedingungen!$E$12)=0,U1&lt;Randbedingungen!$E$5),$D$7*Randbedingungen!$E$19,0)*(1+Randbedingungen!$E$32)^U1</f>
        <v>0</v>
      </c>
      <c r="V7" s="209">
        <f>IF(AND(MOD(V1,Randbedingungen!$E$12)=0,V1&lt;Randbedingungen!$E$5),$D$7*Randbedingungen!$E$19,0)*(1+Randbedingungen!$E$32)^V1</f>
        <v>0</v>
      </c>
      <c r="W7" s="209">
        <f>IF(AND(MOD(W1,Randbedingungen!$E$12)=0,W1&lt;Randbedingungen!$E$5),$D$7*Randbedingungen!$E$19,0)*(1+Randbedingungen!$E$32)^W1</f>
        <v>0</v>
      </c>
      <c r="X7" s="209">
        <f>IF(AND(MOD(X1,Randbedingungen!$E$12)=0,X1&lt;Randbedingungen!$E$5),$D$7*Randbedingungen!$E$19,0)*(1+Randbedingungen!$E$32)^X1</f>
        <v>0</v>
      </c>
      <c r="Y7" s="209">
        <f>IF(AND(MOD(Y1,Randbedingungen!$E$12)=0,Y1&lt;Randbedingungen!$E$5),$D$7*Randbedingungen!$E$19,0)*(1+Randbedingungen!$E$32)^Y1</f>
        <v>0</v>
      </c>
      <c r="Z7" s="209">
        <f>IF(AND(MOD(Z1,Randbedingungen!$E$12)=0,Z1&lt;Randbedingungen!$E$5),$D$7*Randbedingungen!$E$19,0)*(1+Randbedingungen!$E$32)^Z1</f>
        <v>0</v>
      </c>
      <c r="AA7" s="209">
        <f>IF(AND(MOD(AA1,Randbedingungen!$E$12)=0,AA1&lt;Randbedingungen!$E$5),$D$7*Randbedingungen!$E$19,0)*(1+Randbedingungen!$E$32)^AA1</f>
        <v>0</v>
      </c>
      <c r="AB7" s="209">
        <f>IF(AND(MOD(AB1,Randbedingungen!$E$12)=0,AB1&lt;Randbedingungen!$E$5),$D$7*Randbedingungen!$E$19,0)*(1+Randbedingungen!$E$32)^AB1</f>
        <v>0</v>
      </c>
      <c r="AC7" s="209">
        <f>IF(AND(MOD(AC1,Randbedingungen!$E$12)=0,AC1&lt;Randbedingungen!$E$5),$D$7*Randbedingungen!$E$19,0)*(1+Randbedingungen!$E$32)^AC1</f>
        <v>0</v>
      </c>
      <c r="AD7" s="209">
        <f>IF(AND(MOD(AD1,Randbedingungen!$E$12)=0,AD1&lt;Randbedingungen!$E$5),$D$7*Randbedingungen!$E$19,0)*(1+Randbedingungen!$E$32)^AD1</f>
        <v>0</v>
      </c>
      <c r="AE7" s="209">
        <f>IF(AND(MOD(AE1,Randbedingungen!$E$12)=0,AE1&lt;Randbedingungen!$E$5),$D$7*Randbedingungen!$E$19,0)*(1+Randbedingungen!$E$32)^AE1</f>
        <v>0</v>
      </c>
      <c r="AF7" s="209">
        <f>IF(AND(MOD(AF1,Randbedingungen!$E$12)=0,AF1&lt;Randbedingungen!$E$5),$D$7*Randbedingungen!$E$19,0)*(1+Randbedingungen!$E$32)^AF1</f>
        <v>0</v>
      </c>
      <c r="AG7" s="209">
        <f>IF(AND(MOD(AG1,Randbedingungen!$E$12)=0,AG1&lt;Randbedingungen!$E$5),$D$7*Randbedingungen!$E$19,0)*(1+Randbedingungen!$E$32)^AG1</f>
        <v>0</v>
      </c>
      <c r="AH7" s="209">
        <f>IF(AND(MOD(AH1,Randbedingungen!$E$12)=0,AH1&lt;Randbedingungen!$E$5),$D$7*Randbedingungen!$E$19,0)*(1+Randbedingungen!$E$32)^AH1</f>
        <v>0</v>
      </c>
    </row>
    <row r="8" spans="1:62">
      <c r="A8" s="142"/>
      <c r="B8" s="148" t="s">
        <v>173</v>
      </c>
      <c r="C8" s="67"/>
      <c r="D8" s="1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41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  <c r="AT8" s="142"/>
      <c r="AU8" s="142"/>
      <c r="AV8" s="142"/>
      <c r="AW8" s="142"/>
      <c r="AX8" s="142"/>
      <c r="AY8" s="142"/>
      <c r="AZ8" s="142"/>
      <c r="BA8" s="142"/>
      <c r="BB8" s="142"/>
      <c r="BC8" s="142"/>
      <c r="BD8" s="142"/>
      <c r="BE8" s="142"/>
      <c r="BF8" s="142"/>
      <c r="BG8" s="142"/>
      <c r="BH8" s="142"/>
      <c r="BI8" s="142"/>
      <c r="BJ8" s="142"/>
    </row>
    <row r="9" spans="1:62">
      <c r="B9" s="40" t="s">
        <v>155</v>
      </c>
      <c r="C9" s="67">
        <f>Zusammenfassung!F6</f>
        <v>35750</v>
      </c>
      <c r="D9" s="14">
        <f>C9*-1</f>
        <v>-35750</v>
      </c>
      <c r="E9" s="209">
        <f>IF(AND(MOD(E1,Randbedingungen!$E$13)=0,E1&lt;Randbedingungen!$E$5),$D$9*Randbedingungen!$E$20,0)*(1+Randbedingungen!$E$32)^E1</f>
        <v>0</v>
      </c>
      <c r="F9" s="209">
        <f>IF(AND(MOD(F1,Randbedingungen!$E$13)=0,F1&lt;Randbedingungen!$E$5),$D$9*Randbedingungen!$E$20,0)*(1+Randbedingungen!$E$32)^F1</f>
        <v>0</v>
      </c>
      <c r="G9" s="209">
        <f>IF(AND(MOD(G1,Randbedingungen!$E$13)=0,G1&lt;Randbedingungen!$E$5),$D$9*Randbedingungen!$E$20,0)*(1+Randbedingungen!$E$32)^G1</f>
        <v>0</v>
      </c>
      <c r="H9" s="209">
        <f>IF(AND(MOD(H1,Randbedingungen!$E$13)=0,H1&lt;Randbedingungen!$E$5),$D$9*Randbedingungen!$E$20,0)*(1+Randbedingungen!$E$32)^H1</f>
        <v>0</v>
      </c>
      <c r="I9" s="209">
        <f>IF(AND(MOD(I1,Randbedingungen!$E$13)=0,I1&lt;Randbedingungen!$E$5),$D$9*Randbedingungen!$E$20,0)*(1+Randbedingungen!$E$32)^I1</f>
        <v>-39937.442498345576</v>
      </c>
      <c r="J9" s="209">
        <f>IF(AND(MOD(J1,Randbedingungen!$E$13)=0,J1&lt;Randbedingungen!$E$5),$D$9*Randbedingungen!$E$20,0)*(1+Randbedingungen!$E$32)^J1</f>
        <v>0</v>
      </c>
      <c r="K9" s="209">
        <f>IF(AND(MOD(K1,Randbedingungen!$E$13)=0,K1&lt;Randbedingungen!$E$5),$D$9*Randbedingungen!$E$20,0)*(1+Randbedingungen!$E$32)^K1</f>
        <v>0</v>
      </c>
      <c r="L9" s="209">
        <f>IF(AND(MOD(L1,Randbedingungen!$E$13)=0,L1&lt;Randbedingungen!$E$5),$D$9*Randbedingungen!$E$20,0)*(1+Randbedingungen!$E$32)^L1</f>
        <v>0</v>
      </c>
      <c r="M9" s="209">
        <f>IF(AND(MOD(M1,Randbedingungen!$E$13)=0,M1&lt;Randbedingungen!$E$5),$D$9*Randbedingungen!$E$20,0)*(1+Randbedingungen!$E$32)^M1</f>
        <v>0</v>
      </c>
      <c r="N9" s="209">
        <f>IF(AND(MOD(N1,Randbedingungen!$E$13)=0,N1&lt;Randbedingungen!$E$5),$D$9*Randbedingungen!$E$20,0)*(1+Randbedingungen!$E$32)^N1</f>
        <v>-44615.365407235215</v>
      </c>
      <c r="O9" s="209">
        <f>IF(AND(MOD(O1,Randbedingungen!$E$13)=0,O1&lt;Randbedingungen!$E$5),$D$9*Randbedingungen!$E$20,0)*(1+Randbedingungen!$E$32)^O1</f>
        <v>0</v>
      </c>
      <c r="P9" s="209">
        <f>IF(AND(MOD(P1,Randbedingungen!$E$13)=0,P1&lt;Randbedingungen!$E$5),$D$9*Randbedingungen!$E$20,0)*(1+Randbedingungen!$E$32)^P1</f>
        <v>0</v>
      </c>
      <c r="Q9" s="209">
        <f>IF(AND(MOD(Q1,Randbedingungen!$E$13)=0,Q1&lt;Randbedingungen!$E$5),$D$9*Randbedingungen!$E$20,0)*(1+Randbedingungen!$E$32)^Q1</f>
        <v>0</v>
      </c>
      <c r="R9" s="209">
        <f>IF(AND(MOD(R1,Randbedingungen!$E$13)=0,R1&lt;Randbedingungen!$E$5),$D$9*Randbedingungen!$E$20,0)*(1+Randbedingungen!$E$32)^R1</f>
        <v>0</v>
      </c>
      <c r="S9" s="209">
        <f>IF(AND(MOD(S1,Randbedingungen!$E$13)=0,S1&lt;Randbedingungen!$E$5),$D$9*Randbedingungen!$E$20,0)*(1+Randbedingungen!$E$32)^S1</f>
        <v>-49841.219314521186</v>
      </c>
      <c r="T9" s="209">
        <f>IF(AND(MOD(T1,Randbedingungen!$E$13)=0,T1&lt;Randbedingungen!$E$5),$D$9*Randbedingungen!$E$20,0)*(1+Randbedingungen!$E$32)^T1</f>
        <v>0</v>
      </c>
      <c r="U9" s="209">
        <f>IF(AND(MOD(U1,Randbedingungen!$E$13)=0,U1&lt;Randbedingungen!$E$5),$D$9*Randbedingungen!$E$20,0)*(1+Randbedingungen!$E$32)^U1</f>
        <v>0</v>
      </c>
      <c r="V9" s="209">
        <f>IF(AND(MOD(V1,Randbedingungen!$E$13)=0,V1&lt;Randbedingungen!$E$5),$D$9*Randbedingungen!$E$20,0)*(1+Randbedingungen!$E$32)^V1</f>
        <v>0</v>
      </c>
      <c r="W9" s="209">
        <f>IF(AND(MOD(W1,Randbedingungen!$E$13)=0,W1&lt;Randbedingungen!$E$5),$D$9*Randbedingungen!$E$20,0)*(1+Randbedingungen!$E$32)^W1</f>
        <v>0</v>
      </c>
      <c r="X9" s="209">
        <f>IF(AND(MOD(X1,Randbedingungen!$E$13)=0,X1&lt;Randbedingungen!$E$5),$D$9*Randbedingungen!$E$20,0)*(1+Randbedingungen!$E$32)^X1</f>
        <v>-55679.18406772364</v>
      </c>
      <c r="Y9" s="209">
        <f>IF(AND(MOD(Y1,Randbedingungen!$E$13)=0,Y1&lt;Randbedingungen!$E$5),$D$9*Randbedingungen!$E$20,0)*(1+Randbedingungen!$E$32)^Y1</f>
        <v>0</v>
      </c>
      <c r="Z9" s="209">
        <f>IF(AND(MOD(Z1,Randbedingungen!$E$13)=0,Z1&lt;Randbedingungen!$E$5),$D$9*Randbedingungen!$E$20,0)*(1+Randbedingungen!$E$32)^Z1</f>
        <v>0</v>
      </c>
      <c r="AA9" s="209">
        <f>IF(AND(MOD(AA1,Randbedingungen!$E$13)=0,AA1&lt;Randbedingungen!$E$5),$D$9*Randbedingungen!$E$20,0)*(1+Randbedingungen!$E$32)^AA1</f>
        <v>0</v>
      </c>
      <c r="AB9" s="209">
        <f>IF(AND(MOD(AB1,Randbedingungen!$E$13)=0,AB1&lt;Randbedingungen!$E$5),$D$9*Randbedingungen!$E$20,0)*(1+Randbedingungen!$E$32)^AB1</f>
        <v>0</v>
      </c>
      <c r="AC9" s="209">
        <f>IF(AND(MOD(AC1,Randbedingungen!$E$13)=0,AC1&lt;Randbedingungen!$E$5),$D$9*Randbedingungen!$E$20,0)*(1+Randbedingungen!$E$32)^AC1</f>
        <v>-62200.956980685631</v>
      </c>
      <c r="AD9" s="209">
        <f>IF(AND(MOD(AD1,Randbedingungen!$E$13)=0,AD1&lt;Randbedingungen!$E$5),$D$9*Randbedingungen!$E$20,0)*(1+Randbedingungen!$E$32)^AD1</f>
        <v>0</v>
      </c>
      <c r="AE9" s="209">
        <f>IF(AND(MOD(AE1,Randbedingungen!$E$13)=0,AE1&lt;Randbedingungen!$E$5),$D$9*Randbedingungen!$E$20,0)*(1+Randbedingungen!$E$32)^AE1</f>
        <v>0</v>
      </c>
      <c r="AF9" s="209">
        <f>IF(AND(MOD(AF1,Randbedingungen!$E$13)=0,AF1&lt;Randbedingungen!$E$5),$D$9*Randbedingungen!$E$20,0)*(1+Randbedingungen!$E$32)^AF1</f>
        <v>0</v>
      </c>
      <c r="AG9" s="209">
        <f>IF(AND(MOD(AG1,Randbedingungen!$E$13)=0,AG1&lt;Randbedingungen!$E$5),$D$9*Randbedingungen!$E$20,0)*(1+Randbedingungen!$E$32)^AG1</f>
        <v>0</v>
      </c>
      <c r="AH9" s="209">
        <f>IF(AND(MOD(AH1,Randbedingungen!$E$13)=0,AH1&lt;Randbedingungen!$E$5),$D$9*Randbedingungen!$E$20,0)*(1+Randbedingungen!$E$32)^AH1</f>
        <v>0</v>
      </c>
    </row>
    <row r="10" spans="1:62" ht="15.75" thickBot="1">
      <c r="B10" s="44" t="s">
        <v>131</v>
      </c>
      <c r="C10" s="89"/>
      <c r="D10" s="90">
        <f t="shared" ref="D10" si="0">SUM(D5:D9)</f>
        <v>-214500</v>
      </c>
      <c r="E10" s="90">
        <f>SUM(E5:E9)*(-1)</f>
        <v>0</v>
      </c>
      <c r="F10" s="90">
        <f t="shared" ref="F10:AH10" si="1">SUM(F5:F9)*(-1)</f>
        <v>0</v>
      </c>
      <c r="G10" s="90">
        <f t="shared" si="1"/>
        <v>0</v>
      </c>
      <c r="H10" s="90">
        <f t="shared" si="1"/>
        <v>0</v>
      </c>
      <c r="I10" s="90">
        <f t="shared" si="1"/>
        <v>39937.442498345576</v>
      </c>
      <c r="J10" s="90">
        <f t="shared" si="1"/>
        <v>0</v>
      </c>
      <c r="K10" s="90">
        <f t="shared" si="1"/>
        <v>0</v>
      </c>
      <c r="L10" s="90">
        <f t="shared" si="1"/>
        <v>0</v>
      </c>
      <c r="M10" s="90">
        <f t="shared" si="1"/>
        <v>0</v>
      </c>
      <c r="N10" s="90">
        <f t="shared" si="1"/>
        <v>44615.365407235215</v>
      </c>
      <c r="O10" s="90">
        <f t="shared" si="1"/>
        <v>0</v>
      </c>
      <c r="P10" s="90">
        <f t="shared" si="1"/>
        <v>0</v>
      </c>
      <c r="Q10" s="90">
        <f t="shared" si="1"/>
        <v>0</v>
      </c>
      <c r="R10" s="90">
        <f t="shared" si="1"/>
        <v>0</v>
      </c>
      <c r="S10" s="90">
        <f t="shared" si="1"/>
        <v>149523.65794356356</v>
      </c>
      <c r="T10" s="90">
        <f t="shared" si="1"/>
        <v>0</v>
      </c>
      <c r="U10" s="90">
        <f t="shared" si="1"/>
        <v>0</v>
      </c>
      <c r="V10" s="90">
        <f t="shared" si="1"/>
        <v>0</v>
      </c>
      <c r="W10" s="90">
        <f t="shared" si="1"/>
        <v>0</v>
      </c>
      <c r="X10" s="90">
        <f t="shared" si="1"/>
        <v>55679.18406772364</v>
      </c>
      <c r="Y10" s="90">
        <f t="shared" si="1"/>
        <v>0</v>
      </c>
      <c r="Z10" s="90">
        <f t="shared" si="1"/>
        <v>0</v>
      </c>
      <c r="AA10" s="90">
        <f t="shared" si="1"/>
        <v>0</v>
      </c>
      <c r="AB10" s="90">
        <f t="shared" si="1"/>
        <v>0</v>
      </c>
      <c r="AC10" s="90">
        <f t="shared" si="1"/>
        <v>62200.956980685631</v>
      </c>
      <c r="AD10" s="90">
        <f t="shared" si="1"/>
        <v>0</v>
      </c>
      <c r="AE10" s="90">
        <f t="shared" si="1"/>
        <v>0</v>
      </c>
      <c r="AF10" s="90">
        <f t="shared" si="1"/>
        <v>0</v>
      </c>
      <c r="AG10" s="90">
        <v>0</v>
      </c>
      <c r="AH10" s="91">
        <f t="shared" si="1"/>
        <v>0</v>
      </c>
    </row>
    <row r="11" spans="1:62">
      <c r="A11" s="149"/>
      <c r="B11" s="207"/>
      <c r="C11" s="67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</row>
    <row r="12" spans="1:62" ht="15.75" thickBot="1"/>
    <row r="13" spans="1:62">
      <c r="B13" s="46" t="s">
        <v>1</v>
      </c>
      <c r="C13" s="70" t="s">
        <v>157</v>
      </c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8"/>
    </row>
    <row r="14" spans="1:62">
      <c r="B14" s="47" t="s">
        <v>11</v>
      </c>
      <c r="C14" s="64">
        <f>IF(Randbedingungen!$E$30="Spezifisch",Randbedingungen!E35,Randbedingungen!$E$32)</f>
        <v>1.2E-2</v>
      </c>
      <c r="D14" s="105">
        <f>Zusammenfassung!F9</f>
        <v>3120</v>
      </c>
      <c r="E14" s="24">
        <f>Zusammenfassung!E9*(1+C14)</f>
        <v>4857.6000000000004</v>
      </c>
      <c r="F14" s="27">
        <f>E14*(1+$C$14)</f>
        <v>4915.8912</v>
      </c>
      <c r="G14" s="27">
        <f t="shared" ref="G14:AH14" si="2">F14*(1+$C$14)</f>
        <v>4974.8818944000004</v>
      </c>
      <c r="H14" s="27">
        <f t="shared" si="2"/>
        <v>5034.5804771328003</v>
      </c>
      <c r="I14" s="27">
        <f t="shared" si="2"/>
        <v>5094.9954428583942</v>
      </c>
      <c r="J14" s="27">
        <f t="shared" si="2"/>
        <v>5156.1353881726945</v>
      </c>
      <c r="K14" s="27">
        <f t="shared" si="2"/>
        <v>5218.0090128307666</v>
      </c>
      <c r="L14" s="27">
        <f t="shared" si="2"/>
        <v>5280.625120984736</v>
      </c>
      <c r="M14" s="27">
        <f t="shared" si="2"/>
        <v>5343.9926224365527</v>
      </c>
      <c r="N14" s="27">
        <f t="shared" si="2"/>
        <v>5408.1205339057915</v>
      </c>
      <c r="O14" s="27">
        <f t="shared" si="2"/>
        <v>5473.0179803126612</v>
      </c>
      <c r="P14" s="27">
        <f t="shared" si="2"/>
        <v>5538.6941960764134</v>
      </c>
      <c r="Q14" s="27">
        <f t="shared" si="2"/>
        <v>5605.1585264293308</v>
      </c>
      <c r="R14" s="27">
        <f t="shared" si="2"/>
        <v>5672.4204287464827</v>
      </c>
      <c r="S14" s="27">
        <f t="shared" si="2"/>
        <v>5740.4894738914409</v>
      </c>
      <c r="T14" s="27">
        <f t="shared" si="2"/>
        <v>5809.3753475781386</v>
      </c>
      <c r="U14" s="27">
        <f t="shared" si="2"/>
        <v>5879.0878517490764</v>
      </c>
      <c r="V14" s="27">
        <f t="shared" si="2"/>
        <v>5949.6369059700655</v>
      </c>
      <c r="W14" s="27">
        <f t="shared" si="2"/>
        <v>6021.0325488417066</v>
      </c>
      <c r="X14" s="27">
        <f t="shared" si="2"/>
        <v>6093.2849394278073</v>
      </c>
      <c r="Y14" s="27">
        <f t="shared" si="2"/>
        <v>6166.404358700941</v>
      </c>
      <c r="Z14" s="27">
        <f t="shared" si="2"/>
        <v>6240.4012110053527</v>
      </c>
      <c r="AA14" s="27">
        <f t="shared" si="2"/>
        <v>6315.2860255374171</v>
      </c>
      <c r="AB14" s="27">
        <f t="shared" si="2"/>
        <v>6391.0694578438661</v>
      </c>
      <c r="AC14" s="27">
        <f t="shared" si="2"/>
        <v>6467.7622913379928</v>
      </c>
      <c r="AD14" s="27">
        <f t="shared" si="2"/>
        <v>6545.3754388340485</v>
      </c>
      <c r="AE14" s="27">
        <f t="shared" si="2"/>
        <v>6623.9199441000574</v>
      </c>
      <c r="AF14" s="27">
        <f t="shared" si="2"/>
        <v>6703.4069834292577</v>
      </c>
      <c r="AG14" s="27">
        <f t="shared" si="2"/>
        <v>6783.8478672304091</v>
      </c>
      <c r="AH14" s="48">
        <f t="shared" si="2"/>
        <v>6865.2540416371739</v>
      </c>
    </row>
    <row r="15" spans="1:62">
      <c r="B15" s="47" t="s">
        <v>15</v>
      </c>
      <c r="C15" s="64">
        <f>IF(Randbedingungen!$E$30="Spezifisch",Randbedingungen!E36,Randbedingungen!$E$32)</f>
        <v>1.2E-2</v>
      </c>
      <c r="D15" s="105">
        <f>Zusammenfassung!F10</f>
        <v>780</v>
      </c>
      <c r="E15" s="24">
        <f>Zusammenfassung!E10*(1+C15)</f>
        <v>1214.4000000000001</v>
      </c>
      <c r="F15" s="27">
        <f>E15*(1+$C$15)</f>
        <v>1228.9728</v>
      </c>
      <c r="G15" s="27">
        <f t="shared" ref="G15:AH15" si="3">F15*(1+$C$15)</f>
        <v>1243.7204736000001</v>
      </c>
      <c r="H15" s="27">
        <f t="shared" si="3"/>
        <v>1258.6451192832001</v>
      </c>
      <c r="I15" s="27">
        <f t="shared" si="3"/>
        <v>1273.7488607145985</v>
      </c>
      <c r="J15" s="27">
        <f t="shared" si="3"/>
        <v>1289.0338470431736</v>
      </c>
      <c r="K15" s="27">
        <f t="shared" si="3"/>
        <v>1304.5022532076916</v>
      </c>
      <c r="L15" s="27">
        <f t="shared" si="3"/>
        <v>1320.156280246184</v>
      </c>
      <c r="M15" s="27">
        <f t="shared" si="3"/>
        <v>1335.9981556091382</v>
      </c>
      <c r="N15" s="27">
        <f t="shared" si="3"/>
        <v>1352.0301334764479</v>
      </c>
      <c r="O15" s="27">
        <f t="shared" si="3"/>
        <v>1368.2544950781653</v>
      </c>
      <c r="P15" s="27">
        <f t="shared" si="3"/>
        <v>1384.6735490191033</v>
      </c>
      <c r="Q15" s="27">
        <f t="shared" si="3"/>
        <v>1401.2896316073327</v>
      </c>
      <c r="R15" s="27">
        <f t="shared" si="3"/>
        <v>1418.1051071866207</v>
      </c>
      <c r="S15" s="27">
        <f t="shared" si="3"/>
        <v>1435.1223684728602</v>
      </c>
      <c r="T15" s="27">
        <f t="shared" si="3"/>
        <v>1452.3438368945347</v>
      </c>
      <c r="U15" s="27">
        <f t="shared" si="3"/>
        <v>1469.7719629372691</v>
      </c>
      <c r="V15" s="27">
        <f t="shared" si="3"/>
        <v>1487.4092264925164</v>
      </c>
      <c r="W15" s="27">
        <f t="shared" si="3"/>
        <v>1505.2581372104266</v>
      </c>
      <c r="X15" s="27">
        <f t="shared" si="3"/>
        <v>1523.3212348569518</v>
      </c>
      <c r="Y15" s="27">
        <f t="shared" si="3"/>
        <v>1541.6010896752352</v>
      </c>
      <c r="Z15" s="27">
        <f t="shared" si="3"/>
        <v>1560.1003027513382</v>
      </c>
      <c r="AA15" s="27">
        <f t="shared" si="3"/>
        <v>1578.8215063843543</v>
      </c>
      <c r="AB15" s="27">
        <f t="shared" si="3"/>
        <v>1597.7673644609665</v>
      </c>
      <c r="AC15" s="27">
        <f t="shared" si="3"/>
        <v>1616.9405728344982</v>
      </c>
      <c r="AD15" s="27">
        <f t="shared" si="3"/>
        <v>1636.3438597085121</v>
      </c>
      <c r="AE15" s="27">
        <f t="shared" si="3"/>
        <v>1655.9799860250143</v>
      </c>
      <c r="AF15" s="27">
        <f t="shared" si="3"/>
        <v>1675.8517458573144</v>
      </c>
      <c r="AG15" s="27">
        <f t="shared" si="3"/>
        <v>1695.9619668076023</v>
      </c>
      <c r="AH15" s="48">
        <f t="shared" si="3"/>
        <v>1716.3135104092935</v>
      </c>
    </row>
    <row r="16" spans="1:62">
      <c r="B16" s="47" t="s">
        <v>20</v>
      </c>
      <c r="C16" s="64">
        <f>IF(Randbedingungen!$E$30="Spezifisch",Randbedingungen!E37,Randbedingungen!$E$32)</f>
        <v>1.2E-2</v>
      </c>
      <c r="D16" s="105">
        <f>Zusammenfassung!F11</f>
        <v>13877.499999999998</v>
      </c>
      <c r="E16" s="24">
        <f>Zusammenfassung!E11*(1+C16)</f>
        <v>21606.199999999997</v>
      </c>
      <c r="F16" s="27">
        <f>E16*(1+$C$16)</f>
        <v>21865.474399999996</v>
      </c>
      <c r="G16" s="27">
        <f t="shared" ref="G16:AH16" si="4">F16*(1+$C$16)</f>
        <v>22127.860092799994</v>
      </c>
      <c r="H16" s="27">
        <f t="shared" si="4"/>
        <v>22393.394413913593</v>
      </c>
      <c r="I16" s="27">
        <f t="shared" si="4"/>
        <v>22662.115146880555</v>
      </c>
      <c r="J16" s="27">
        <f t="shared" si="4"/>
        <v>22934.06052864312</v>
      </c>
      <c r="K16" s="27">
        <f t="shared" si="4"/>
        <v>23209.269254986837</v>
      </c>
      <c r="L16" s="27">
        <f t="shared" si="4"/>
        <v>23487.780486046679</v>
      </c>
      <c r="M16" s="27">
        <f t="shared" si="4"/>
        <v>23769.63385187924</v>
      </c>
      <c r="N16" s="27">
        <f t="shared" si="4"/>
        <v>24054.869458101792</v>
      </c>
      <c r="O16" s="27">
        <f t="shared" si="4"/>
        <v>24343.527891599013</v>
      </c>
      <c r="P16" s="27">
        <f t="shared" si="4"/>
        <v>24635.650226298203</v>
      </c>
      <c r="Q16" s="27">
        <f t="shared" si="4"/>
        <v>24931.278029013782</v>
      </c>
      <c r="R16" s="27">
        <f t="shared" si="4"/>
        <v>25230.453365361947</v>
      </c>
      <c r="S16" s="27">
        <f t="shared" si="4"/>
        <v>25533.218805746292</v>
      </c>
      <c r="T16" s="27">
        <f t="shared" si="4"/>
        <v>25839.617431415249</v>
      </c>
      <c r="U16" s="27">
        <f t="shared" si="4"/>
        <v>26149.692840592234</v>
      </c>
      <c r="V16" s="27">
        <f t="shared" si="4"/>
        <v>26463.489154679341</v>
      </c>
      <c r="W16" s="27">
        <f t="shared" si="4"/>
        <v>26781.051024535493</v>
      </c>
      <c r="X16" s="27">
        <f t="shared" si="4"/>
        <v>27102.423636829917</v>
      </c>
      <c r="Y16" s="27">
        <f t="shared" si="4"/>
        <v>27427.652720471877</v>
      </c>
      <c r="Z16" s="27">
        <f t="shared" si="4"/>
        <v>27756.784553117541</v>
      </c>
      <c r="AA16" s="27">
        <f t="shared" si="4"/>
        <v>28089.865967754951</v>
      </c>
      <c r="AB16" s="27">
        <f t="shared" si="4"/>
        <v>28426.944359368012</v>
      </c>
      <c r="AC16" s="27">
        <f t="shared" si="4"/>
        <v>28768.06769168043</v>
      </c>
      <c r="AD16" s="27">
        <f t="shared" si="4"/>
        <v>29113.284503980594</v>
      </c>
      <c r="AE16" s="27">
        <f t="shared" si="4"/>
        <v>29462.643918028363</v>
      </c>
      <c r="AF16" s="27">
        <f t="shared" si="4"/>
        <v>29816.195645044703</v>
      </c>
      <c r="AG16" s="27">
        <f t="shared" si="4"/>
        <v>30173.989992785238</v>
      </c>
      <c r="AH16" s="48">
        <f t="shared" si="4"/>
        <v>30536.077872698661</v>
      </c>
    </row>
    <row r="17" spans="2:34" ht="15.75" thickBot="1">
      <c r="B17" s="49" t="s">
        <v>23</v>
      </c>
      <c r="C17" s="65">
        <f>IF(Randbedingungen!$E$30="Spezifisch",Randbedingungen!E38,Randbedingungen!$E$32)</f>
        <v>5.0000000000000001E-3</v>
      </c>
      <c r="D17" s="106">
        <f>Zusammenfassung!F12</f>
        <v>23920</v>
      </c>
      <c r="E17" s="28">
        <f>Zusammenfassung!E12*(1+C17)</f>
        <v>36983.999999999993</v>
      </c>
      <c r="F17" s="28">
        <f>E17*(1+$C$17)</f>
        <v>37168.919999999991</v>
      </c>
      <c r="G17" s="28">
        <f t="shared" ref="G17:AH17" si="5">F17*(1+$C$17)</f>
        <v>37354.764599999988</v>
      </c>
      <c r="H17" s="28">
        <f t="shared" si="5"/>
        <v>37541.538422999984</v>
      </c>
      <c r="I17" s="28">
        <f t="shared" si="5"/>
        <v>37729.246115114976</v>
      </c>
      <c r="J17" s="28">
        <f t="shared" si="5"/>
        <v>37917.892345690547</v>
      </c>
      <c r="K17" s="28">
        <f t="shared" si="5"/>
        <v>38107.481807418997</v>
      </c>
      <c r="L17" s="28">
        <f t="shared" si="5"/>
        <v>38298.019216456087</v>
      </c>
      <c r="M17" s="28">
        <f t="shared" si="5"/>
        <v>38489.509312538365</v>
      </c>
      <c r="N17" s="28">
        <f t="shared" si="5"/>
        <v>38681.956859101054</v>
      </c>
      <c r="O17" s="28">
        <f t="shared" si="5"/>
        <v>38875.366643396555</v>
      </c>
      <c r="P17" s="28">
        <f t="shared" si="5"/>
        <v>39069.743476613534</v>
      </c>
      <c r="Q17" s="28">
        <f t="shared" si="5"/>
        <v>39265.092193996599</v>
      </c>
      <c r="R17" s="28">
        <f t="shared" si="5"/>
        <v>39461.417654966579</v>
      </c>
      <c r="S17" s="28">
        <f t="shared" si="5"/>
        <v>39658.724743241408</v>
      </c>
      <c r="T17" s="28">
        <f t="shared" si="5"/>
        <v>39857.018366957607</v>
      </c>
      <c r="U17" s="28">
        <f t="shared" si="5"/>
        <v>40056.30345879239</v>
      </c>
      <c r="V17" s="28">
        <f t="shared" si="5"/>
        <v>40256.584976086349</v>
      </c>
      <c r="W17" s="28">
        <f t="shared" si="5"/>
        <v>40457.867900966776</v>
      </c>
      <c r="X17" s="28">
        <f t="shared" si="5"/>
        <v>40660.157240471606</v>
      </c>
      <c r="Y17" s="28">
        <f t="shared" si="5"/>
        <v>40863.458026673958</v>
      </c>
      <c r="Z17" s="28">
        <f t="shared" si="5"/>
        <v>41067.775316807325</v>
      </c>
      <c r="AA17" s="28">
        <f t="shared" si="5"/>
        <v>41273.11419339136</v>
      </c>
      <c r="AB17" s="28">
        <f t="shared" si="5"/>
        <v>41479.479764358315</v>
      </c>
      <c r="AC17" s="28">
        <f t="shared" si="5"/>
        <v>41686.877163180099</v>
      </c>
      <c r="AD17" s="28">
        <f t="shared" si="5"/>
        <v>41895.311548995996</v>
      </c>
      <c r="AE17" s="28">
        <f t="shared" si="5"/>
        <v>42104.788106740969</v>
      </c>
      <c r="AF17" s="28">
        <f t="shared" si="5"/>
        <v>42315.312047274667</v>
      </c>
      <c r="AG17" s="28">
        <f t="shared" si="5"/>
        <v>42526.888607511035</v>
      </c>
      <c r="AH17" s="50">
        <f t="shared" si="5"/>
        <v>42739.523050548589</v>
      </c>
    </row>
    <row r="18" spans="2:34" ht="15.75" thickTop="1">
      <c r="B18" s="51" t="s">
        <v>131</v>
      </c>
      <c r="C18" s="107"/>
      <c r="D18" s="107">
        <f>Zusammenfassung!F13</f>
        <v>41697.5</v>
      </c>
      <c r="E18" s="34">
        <f t="shared" ref="E18:AH18" si="6">SUM(E14:E17)</f>
        <v>64662.19999999999</v>
      </c>
      <c r="F18" s="34">
        <f t="shared" si="6"/>
        <v>65179.258399999984</v>
      </c>
      <c r="G18" s="34">
        <f t="shared" si="6"/>
        <v>65701.227060799982</v>
      </c>
      <c r="H18" s="34">
        <f t="shared" si="6"/>
        <v>66228.158433329576</v>
      </c>
      <c r="I18" s="34">
        <f t="shared" si="6"/>
        <v>66760.10556556852</v>
      </c>
      <c r="J18" s="34">
        <f t="shared" si="6"/>
        <v>67297.122109549528</v>
      </c>
      <c r="K18" s="34">
        <f t="shared" si="6"/>
        <v>67839.262328444296</v>
      </c>
      <c r="L18" s="34">
        <f t="shared" si="6"/>
        <v>68386.581103733683</v>
      </c>
      <c r="M18" s="34">
        <f t="shared" si="6"/>
        <v>68939.13394246329</v>
      </c>
      <c r="N18" s="34">
        <f t="shared" si="6"/>
        <v>69496.976984585082</v>
      </c>
      <c r="O18" s="34">
        <f t="shared" si="6"/>
        <v>70060.167010386387</v>
      </c>
      <c r="P18" s="34">
        <f t="shared" si="6"/>
        <v>70628.761448007252</v>
      </c>
      <c r="Q18" s="34">
        <f t="shared" si="6"/>
        <v>71202.818381047051</v>
      </c>
      <c r="R18" s="34">
        <f t="shared" si="6"/>
        <v>71782.396556261636</v>
      </c>
      <c r="S18" s="34">
        <f t="shared" si="6"/>
        <v>72367.555391351998</v>
      </c>
      <c r="T18" s="34">
        <f t="shared" si="6"/>
        <v>72958.354982845529</v>
      </c>
      <c r="U18" s="34">
        <f t="shared" si="6"/>
        <v>73554.856114070979</v>
      </c>
      <c r="V18" s="34">
        <f t="shared" si="6"/>
        <v>74157.12026322828</v>
      </c>
      <c r="W18" s="34">
        <f t="shared" si="6"/>
        <v>74765.209611554397</v>
      </c>
      <c r="X18" s="34">
        <f t="shared" si="6"/>
        <v>75379.187051586283</v>
      </c>
      <c r="Y18" s="34">
        <f t="shared" si="6"/>
        <v>75999.116195522016</v>
      </c>
      <c r="Z18" s="34">
        <f t="shared" si="6"/>
        <v>76625.061383681546</v>
      </c>
      <c r="AA18" s="34">
        <f t="shared" si="6"/>
        <v>77257.087693068082</v>
      </c>
      <c r="AB18" s="34">
        <f t="shared" si="6"/>
        <v>77895.260946031165</v>
      </c>
      <c r="AC18" s="34">
        <f t="shared" si="6"/>
        <v>78539.647719033019</v>
      </c>
      <c r="AD18" s="34">
        <f t="shared" si="6"/>
        <v>79190.315351519152</v>
      </c>
      <c r="AE18" s="34">
        <f t="shared" si="6"/>
        <v>79847.331954894413</v>
      </c>
      <c r="AF18" s="34">
        <f t="shared" si="6"/>
        <v>80510.766421605949</v>
      </c>
      <c r="AG18" s="34">
        <f t="shared" si="6"/>
        <v>81180.688434334283</v>
      </c>
      <c r="AH18" s="52">
        <f t="shared" si="6"/>
        <v>81857.168475293729</v>
      </c>
    </row>
    <row r="19" spans="2:34">
      <c r="B19" s="47"/>
      <c r="C19" s="6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41"/>
    </row>
    <row r="20" spans="2:34">
      <c r="B20" s="51" t="s">
        <v>26</v>
      </c>
      <c r="C20" s="71" t="s">
        <v>157</v>
      </c>
      <c r="E20" s="24"/>
      <c r="AH20" s="5"/>
    </row>
    <row r="21" spans="2:34" ht="15.75" thickBot="1">
      <c r="B21" s="49" t="s">
        <v>158</v>
      </c>
      <c r="C21" s="65">
        <f>IF(Randbedingungen!$E$30="Spezifisch",Randbedingungen!E39,Randbedingungen!$E$32)</f>
        <v>1.4999999999999999E-2</v>
      </c>
      <c r="D21" s="108">
        <f>Zusammenfassung!F15</f>
        <v>16380</v>
      </c>
      <c r="E21" s="26">
        <f>Zusammenfassung!E15*(1+C21)</f>
        <v>25577.999999999996</v>
      </c>
      <c r="F21" s="28">
        <f>E21*(1+$C$21)</f>
        <v>25961.669999999995</v>
      </c>
      <c r="G21" s="28">
        <f>F21*(1+$C$21)</f>
        <v>26351.095049999993</v>
      </c>
      <c r="H21" s="28">
        <f t="shared" ref="H21:AH21" si="7">G21*(1+$C$21)</f>
        <v>26746.361475749989</v>
      </c>
      <c r="I21" s="28">
        <f t="shared" si="7"/>
        <v>27147.556897886236</v>
      </c>
      <c r="J21" s="28">
        <f t="shared" si="7"/>
        <v>27554.770251354526</v>
      </c>
      <c r="K21" s="28">
        <f t="shared" si="7"/>
        <v>27968.091805124841</v>
      </c>
      <c r="L21" s="28">
        <f t="shared" si="7"/>
        <v>28387.613182201712</v>
      </c>
      <c r="M21" s="28">
        <f t="shared" si="7"/>
        <v>28813.427379934736</v>
      </c>
      <c r="N21" s="28">
        <f t="shared" si="7"/>
        <v>29245.628790633753</v>
      </c>
      <c r="O21" s="28">
        <f t="shared" si="7"/>
        <v>29684.313222493256</v>
      </c>
      <c r="P21" s="28">
        <f t="shared" si="7"/>
        <v>30129.577920830652</v>
      </c>
      <c r="Q21" s="28">
        <f t="shared" si="7"/>
        <v>30581.521589643107</v>
      </c>
      <c r="R21" s="28">
        <f t="shared" si="7"/>
        <v>31040.244413487751</v>
      </c>
      <c r="S21" s="28">
        <f t="shared" si="7"/>
        <v>31505.848079690066</v>
      </c>
      <c r="T21" s="28">
        <f t="shared" si="7"/>
        <v>31978.435800885414</v>
      </c>
      <c r="U21" s="28">
        <f t="shared" si="7"/>
        <v>32458.112337898692</v>
      </c>
      <c r="V21" s="28">
        <f t="shared" si="7"/>
        <v>32944.984022967168</v>
      </c>
      <c r="W21" s="28">
        <f t="shared" si="7"/>
        <v>33439.158783311672</v>
      </c>
      <c r="X21" s="28">
        <f t="shared" si="7"/>
        <v>33940.74616506134</v>
      </c>
      <c r="Y21" s="28">
        <f t="shared" si="7"/>
        <v>34449.857357537257</v>
      </c>
      <c r="Z21" s="28">
        <f t="shared" si="7"/>
        <v>34966.605217900316</v>
      </c>
      <c r="AA21" s="28">
        <f t="shared" si="7"/>
        <v>35491.104296168814</v>
      </c>
      <c r="AB21" s="28">
        <f t="shared" si="7"/>
        <v>36023.470860611342</v>
      </c>
      <c r="AC21" s="28">
        <f t="shared" si="7"/>
        <v>36563.822923520507</v>
      </c>
      <c r="AD21" s="28">
        <f t="shared" si="7"/>
        <v>37112.280267373309</v>
      </c>
      <c r="AE21" s="28">
        <f t="shared" si="7"/>
        <v>37668.964471383908</v>
      </c>
      <c r="AF21" s="28">
        <f t="shared" si="7"/>
        <v>38233.998938454664</v>
      </c>
      <c r="AG21" s="28">
        <f t="shared" si="7"/>
        <v>38807.50892253148</v>
      </c>
      <c r="AH21" s="50">
        <f t="shared" si="7"/>
        <v>39389.62155636945</v>
      </c>
    </row>
    <row r="22" spans="2:34" ht="16.5" thickTop="1" thickBot="1">
      <c r="B22" s="53" t="s">
        <v>131</v>
      </c>
      <c r="C22" s="72"/>
      <c r="D22" s="109">
        <f>Zusammenfassung!F16</f>
        <v>16380</v>
      </c>
      <c r="E22" s="54">
        <f>E21</f>
        <v>25577.999999999996</v>
      </c>
      <c r="F22" s="54">
        <f t="shared" ref="F22:AH22" si="8">F21</f>
        <v>25961.669999999995</v>
      </c>
      <c r="G22" s="54">
        <f t="shared" si="8"/>
        <v>26351.095049999993</v>
      </c>
      <c r="H22" s="54">
        <f t="shared" si="8"/>
        <v>26746.361475749989</v>
      </c>
      <c r="I22" s="54">
        <f t="shared" si="8"/>
        <v>27147.556897886236</v>
      </c>
      <c r="J22" s="54">
        <f t="shared" si="8"/>
        <v>27554.770251354526</v>
      </c>
      <c r="K22" s="54">
        <f t="shared" si="8"/>
        <v>27968.091805124841</v>
      </c>
      <c r="L22" s="54">
        <f t="shared" si="8"/>
        <v>28387.613182201712</v>
      </c>
      <c r="M22" s="54">
        <f t="shared" si="8"/>
        <v>28813.427379934736</v>
      </c>
      <c r="N22" s="54">
        <f t="shared" si="8"/>
        <v>29245.628790633753</v>
      </c>
      <c r="O22" s="54">
        <f t="shared" si="8"/>
        <v>29684.313222493256</v>
      </c>
      <c r="P22" s="54">
        <f t="shared" si="8"/>
        <v>30129.577920830652</v>
      </c>
      <c r="Q22" s="54">
        <f t="shared" si="8"/>
        <v>30581.521589643107</v>
      </c>
      <c r="R22" s="54">
        <f t="shared" si="8"/>
        <v>31040.244413487751</v>
      </c>
      <c r="S22" s="54">
        <f t="shared" si="8"/>
        <v>31505.848079690066</v>
      </c>
      <c r="T22" s="54">
        <f t="shared" si="8"/>
        <v>31978.435800885414</v>
      </c>
      <c r="U22" s="54">
        <f t="shared" si="8"/>
        <v>32458.112337898692</v>
      </c>
      <c r="V22" s="54">
        <f t="shared" si="8"/>
        <v>32944.984022967168</v>
      </c>
      <c r="W22" s="54">
        <f t="shared" si="8"/>
        <v>33439.158783311672</v>
      </c>
      <c r="X22" s="54">
        <f t="shared" si="8"/>
        <v>33940.74616506134</v>
      </c>
      <c r="Y22" s="54">
        <f t="shared" si="8"/>
        <v>34449.857357537257</v>
      </c>
      <c r="Z22" s="54">
        <f t="shared" si="8"/>
        <v>34966.605217900316</v>
      </c>
      <c r="AA22" s="54">
        <f t="shared" si="8"/>
        <v>35491.104296168814</v>
      </c>
      <c r="AB22" s="54">
        <f t="shared" si="8"/>
        <v>36023.470860611342</v>
      </c>
      <c r="AC22" s="54">
        <f t="shared" si="8"/>
        <v>36563.822923520507</v>
      </c>
      <c r="AD22" s="54">
        <f t="shared" si="8"/>
        <v>37112.280267373309</v>
      </c>
      <c r="AE22" s="54">
        <f t="shared" si="8"/>
        <v>37668.964471383908</v>
      </c>
      <c r="AF22" s="54">
        <f t="shared" si="8"/>
        <v>38233.998938454664</v>
      </c>
      <c r="AG22" s="54">
        <f t="shared" si="8"/>
        <v>38807.50892253148</v>
      </c>
      <c r="AH22" s="55">
        <f t="shared" si="8"/>
        <v>39389.62155636945</v>
      </c>
    </row>
    <row r="23" spans="2:34" ht="15.75" thickBot="1">
      <c r="B23" s="21"/>
      <c r="C23" s="71"/>
      <c r="D23" s="21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</row>
    <row r="24" spans="2:34">
      <c r="B24" s="99" t="s">
        <v>69</v>
      </c>
      <c r="C24" s="70" t="s">
        <v>159</v>
      </c>
      <c r="D24" s="100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2"/>
    </row>
    <row r="25" spans="2:34">
      <c r="B25" s="92" t="s">
        <v>149</v>
      </c>
      <c r="C25" s="64">
        <f>IF(Randbedingungen!$E$30="Spezifisch",Randbedingungen!E41,Randbedingungen!$E$32)</f>
        <v>5.0000000000000001E-3</v>
      </c>
      <c r="D25" s="110">
        <f>Zusammenfassung!F18</f>
        <v>54000</v>
      </c>
      <c r="E25" s="14">
        <f>Zusammenfassung!E18*(1+C25)</f>
        <v>54269.999999999993</v>
      </c>
      <c r="F25" s="14">
        <f>E25*(1+$C$25)</f>
        <v>54541.349999999984</v>
      </c>
      <c r="G25" s="14">
        <f t="shared" ref="G25:AH25" si="9">F25*(1+$C$25)</f>
        <v>54814.056749999982</v>
      </c>
      <c r="H25" s="14">
        <f t="shared" si="9"/>
        <v>55088.127033749974</v>
      </c>
      <c r="I25" s="14">
        <f t="shared" si="9"/>
        <v>55363.567668918717</v>
      </c>
      <c r="J25" s="14">
        <f t="shared" si="9"/>
        <v>55640.385507263301</v>
      </c>
      <c r="K25" s="14">
        <f t="shared" si="9"/>
        <v>55918.587434799614</v>
      </c>
      <c r="L25" s="14">
        <f t="shared" si="9"/>
        <v>56198.180371973605</v>
      </c>
      <c r="M25" s="14">
        <f t="shared" si="9"/>
        <v>56479.171273833468</v>
      </c>
      <c r="N25" s="14">
        <f t="shared" si="9"/>
        <v>56761.567130202631</v>
      </c>
      <c r="O25" s="14">
        <f t="shared" si="9"/>
        <v>57045.37496585364</v>
      </c>
      <c r="P25" s="14">
        <f t="shared" si="9"/>
        <v>57330.601840682903</v>
      </c>
      <c r="Q25" s="14">
        <f t="shared" si="9"/>
        <v>57617.254849886311</v>
      </c>
      <c r="R25" s="14">
        <f t="shared" si="9"/>
        <v>57905.341124135739</v>
      </c>
      <c r="S25" s="14">
        <f t="shared" si="9"/>
        <v>58194.867829756411</v>
      </c>
      <c r="T25" s="14">
        <f t="shared" si="9"/>
        <v>58485.84216890519</v>
      </c>
      <c r="U25" s="14">
        <f t="shared" si="9"/>
        <v>58778.271379749713</v>
      </c>
      <c r="V25" s="14">
        <f t="shared" si="9"/>
        <v>59072.162736648454</v>
      </c>
      <c r="W25" s="14">
        <f t="shared" si="9"/>
        <v>59367.523550331687</v>
      </c>
      <c r="X25" s="14">
        <f t="shared" si="9"/>
        <v>59664.361168083342</v>
      </c>
      <c r="Y25" s="14">
        <f t="shared" si="9"/>
        <v>59962.682973923751</v>
      </c>
      <c r="Z25" s="14">
        <f t="shared" si="9"/>
        <v>60262.496388793363</v>
      </c>
      <c r="AA25" s="14">
        <f t="shared" si="9"/>
        <v>60563.808870737324</v>
      </c>
      <c r="AB25" s="14">
        <f t="shared" si="9"/>
        <v>60866.627915091005</v>
      </c>
      <c r="AC25" s="14">
        <f t="shared" si="9"/>
        <v>61170.961054666455</v>
      </c>
      <c r="AD25" s="14">
        <f t="shared" si="9"/>
        <v>61476.815859939779</v>
      </c>
      <c r="AE25" s="14">
        <f t="shared" si="9"/>
        <v>61784.199939239472</v>
      </c>
      <c r="AF25" s="14">
        <f t="shared" si="9"/>
        <v>62093.120938935659</v>
      </c>
      <c r="AG25" s="14">
        <f t="shared" si="9"/>
        <v>62403.586543630328</v>
      </c>
      <c r="AH25" s="15">
        <f t="shared" si="9"/>
        <v>62715.604476348475</v>
      </c>
    </row>
    <row r="26" spans="2:34">
      <c r="B26" s="93" t="s">
        <v>160</v>
      </c>
      <c r="C26" s="67" t="s">
        <v>161</v>
      </c>
      <c r="AH26" s="5"/>
    </row>
    <row r="27" spans="2:34">
      <c r="B27" s="92" t="s">
        <v>74</v>
      </c>
      <c r="C27" s="64">
        <f>Input!E122</f>
        <v>0.02</v>
      </c>
      <c r="D27" s="105">
        <f>Zusammenfassung!F19</f>
        <v>5500</v>
      </c>
      <c r="E27" s="24">
        <f>$C$27*Zusammenfassung!$E$7</f>
        <v>6600</v>
      </c>
      <c r="F27" s="24">
        <f>$C$27*Zusammenfassung!$E$7</f>
        <v>6600</v>
      </c>
      <c r="G27" s="24">
        <f>$C$27*Zusammenfassung!$E$7</f>
        <v>6600</v>
      </c>
      <c r="H27" s="24">
        <f>$C$27*Zusammenfassung!$E$7</f>
        <v>6600</v>
      </c>
      <c r="I27" s="24">
        <f>$C$27*Zusammenfassung!$E$7</f>
        <v>6600</v>
      </c>
      <c r="J27" s="24">
        <f>$C$27*Zusammenfassung!$E$7</f>
        <v>6600</v>
      </c>
      <c r="K27" s="24">
        <f>$C$27*Zusammenfassung!$E$7</f>
        <v>6600</v>
      </c>
      <c r="L27" s="24">
        <f>$C$27*Zusammenfassung!$E$7</f>
        <v>6600</v>
      </c>
      <c r="M27" s="24">
        <f>$C$27*Zusammenfassung!$E$7</f>
        <v>6600</v>
      </c>
      <c r="N27" s="24">
        <f>$C$27*Zusammenfassung!$E$7</f>
        <v>6600</v>
      </c>
      <c r="O27" s="24">
        <f>$C$27*Zusammenfassung!$E$7</f>
        <v>6600</v>
      </c>
      <c r="P27" s="24">
        <f>$C$27*Zusammenfassung!$E$7</f>
        <v>6600</v>
      </c>
      <c r="Q27" s="24">
        <f>$C$27*Zusammenfassung!$E$7</f>
        <v>6600</v>
      </c>
      <c r="R27" s="24">
        <f>$C$27*Zusammenfassung!$E$7</f>
        <v>6600</v>
      </c>
      <c r="S27" s="24">
        <f>$C$27*Zusammenfassung!$E$7</f>
        <v>6600</v>
      </c>
      <c r="T27" s="24">
        <f>$C$27*Zusammenfassung!$E$7</f>
        <v>6600</v>
      </c>
      <c r="U27" s="24">
        <f>$C$27*Zusammenfassung!$E$7</f>
        <v>6600</v>
      </c>
      <c r="V27" s="24">
        <f>$C$27*Zusammenfassung!$E$7</f>
        <v>6600</v>
      </c>
      <c r="W27" s="24">
        <f>$C$27*Zusammenfassung!$E$7</f>
        <v>6600</v>
      </c>
      <c r="X27" s="24">
        <f>$C$27*Zusammenfassung!$E$7</f>
        <v>6600</v>
      </c>
      <c r="Y27" s="24">
        <f>$C$27*Zusammenfassung!$E$7</f>
        <v>6600</v>
      </c>
      <c r="Z27" s="24">
        <f>$C$27*Zusammenfassung!$E$7</f>
        <v>6600</v>
      </c>
      <c r="AA27" s="24">
        <f>$C$27*Zusammenfassung!$E$7</f>
        <v>6600</v>
      </c>
      <c r="AB27" s="24">
        <f>$C$27*Zusammenfassung!$E$7</f>
        <v>6600</v>
      </c>
      <c r="AC27" s="24">
        <f>$C$27*Zusammenfassung!$E$7</f>
        <v>6600</v>
      </c>
      <c r="AD27" s="24">
        <f>$C$27*Zusammenfassung!$E$7</f>
        <v>6600</v>
      </c>
      <c r="AE27" s="24">
        <f>$C$27*Zusammenfassung!$E$7</f>
        <v>6600</v>
      </c>
      <c r="AF27" s="24">
        <f>$C$27*Zusammenfassung!$E$7</f>
        <v>6600</v>
      </c>
      <c r="AG27" s="24">
        <f>$C$27*Zusammenfassung!$E$7</f>
        <v>6600</v>
      </c>
      <c r="AH27" s="41">
        <f>$C$27*Zusammenfassung!$E$7</f>
        <v>6600</v>
      </c>
    </row>
    <row r="28" spans="2:34" ht="15.75" thickBot="1">
      <c r="B28" s="94" t="s">
        <v>162</v>
      </c>
      <c r="C28" s="65">
        <f>Input!E123</f>
        <v>0.01</v>
      </c>
      <c r="D28" s="108">
        <f>Zusammenfassung!F20</f>
        <v>2750</v>
      </c>
      <c r="E28" s="26">
        <f>$C$28*Zusammenfassung!$E$7</f>
        <v>3300</v>
      </c>
      <c r="F28" s="26">
        <f>$C$28*Zusammenfassung!$E$7</f>
        <v>3300</v>
      </c>
      <c r="G28" s="26">
        <f>$C$28*Zusammenfassung!$E$7</f>
        <v>3300</v>
      </c>
      <c r="H28" s="26">
        <f>$C$28*Zusammenfassung!$E$7</f>
        <v>3300</v>
      </c>
      <c r="I28" s="26">
        <f>$C$28*Zusammenfassung!$E$7</f>
        <v>3300</v>
      </c>
      <c r="J28" s="26">
        <f>$C$28*Zusammenfassung!$E$7</f>
        <v>3300</v>
      </c>
      <c r="K28" s="26">
        <f>$C$28*Zusammenfassung!$E$7</f>
        <v>3300</v>
      </c>
      <c r="L28" s="26">
        <f>$C$28*Zusammenfassung!$E$7</f>
        <v>3300</v>
      </c>
      <c r="M28" s="26">
        <f>$C$28*Zusammenfassung!$E$7</f>
        <v>3300</v>
      </c>
      <c r="N28" s="26">
        <f>$C$28*Zusammenfassung!$E$7</f>
        <v>3300</v>
      </c>
      <c r="O28" s="26">
        <f>$C$28*Zusammenfassung!$E$7</f>
        <v>3300</v>
      </c>
      <c r="P28" s="26">
        <f>$C$28*Zusammenfassung!$E$7</f>
        <v>3300</v>
      </c>
      <c r="Q28" s="26">
        <f>$C$28*Zusammenfassung!$E$7</f>
        <v>3300</v>
      </c>
      <c r="R28" s="26">
        <f>$C$28*Zusammenfassung!$E$7</f>
        <v>3300</v>
      </c>
      <c r="S28" s="26">
        <f>$C$28*Zusammenfassung!$E$7</f>
        <v>3300</v>
      </c>
      <c r="T28" s="26">
        <f>$C$28*Zusammenfassung!$E$7</f>
        <v>3300</v>
      </c>
      <c r="U28" s="26">
        <f>$C$28*Zusammenfassung!$E$7</f>
        <v>3300</v>
      </c>
      <c r="V28" s="26">
        <f>$C$28*Zusammenfassung!$E$7</f>
        <v>3300</v>
      </c>
      <c r="W28" s="26">
        <f>$C$28*Zusammenfassung!$E$7</f>
        <v>3300</v>
      </c>
      <c r="X28" s="26">
        <f>$C$28*Zusammenfassung!$E$7</f>
        <v>3300</v>
      </c>
      <c r="Y28" s="26">
        <f>$C$28*Zusammenfassung!$E$7</f>
        <v>3300</v>
      </c>
      <c r="Z28" s="26">
        <f>$C$28*Zusammenfassung!$E$7</f>
        <v>3300</v>
      </c>
      <c r="AA28" s="26">
        <f>$C$28*Zusammenfassung!$E$7</f>
        <v>3300</v>
      </c>
      <c r="AB28" s="26">
        <f>$C$28*Zusammenfassung!$E$7</f>
        <v>3300</v>
      </c>
      <c r="AC28" s="26">
        <f>$C$28*Zusammenfassung!$E$7</f>
        <v>3300</v>
      </c>
      <c r="AD28" s="26">
        <f>$C$28*Zusammenfassung!$E$7</f>
        <v>3300</v>
      </c>
      <c r="AE28" s="26">
        <f>$C$28*Zusammenfassung!$E$7</f>
        <v>3300</v>
      </c>
      <c r="AF28" s="26">
        <f>$C$28*Zusammenfassung!$E$7</f>
        <v>3300</v>
      </c>
      <c r="AG28" s="26">
        <f>$C$28*Zusammenfassung!$E$7</f>
        <v>3300</v>
      </c>
      <c r="AH28" s="43">
        <f>$C$28*Zusammenfassung!$E$7</f>
        <v>3300</v>
      </c>
    </row>
    <row r="29" spans="2:34" ht="16.5" thickTop="1" thickBot="1">
      <c r="B29" s="95" t="s">
        <v>131</v>
      </c>
      <c r="C29" s="96"/>
      <c r="D29" s="111">
        <f>Zusammenfassung!F21</f>
        <v>62250</v>
      </c>
      <c r="E29" s="98">
        <f>SUM(E25:E28)</f>
        <v>64169.999999999993</v>
      </c>
      <c r="F29" s="98">
        <f t="shared" ref="F29:AH29" si="10">SUM(F25:F28)</f>
        <v>64441.349999999984</v>
      </c>
      <c r="G29" s="98">
        <f t="shared" si="10"/>
        <v>64714.056749999982</v>
      </c>
      <c r="H29" s="98">
        <f t="shared" si="10"/>
        <v>64988.127033749974</v>
      </c>
      <c r="I29" s="98">
        <f t="shared" si="10"/>
        <v>65263.567668918717</v>
      </c>
      <c r="J29" s="98">
        <f t="shared" si="10"/>
        <v>65540.385507263301</v>
      </c>
      <c r="K29" s="98">
        <f t="shared" si="10"/>
        <v>65818.587434799614</v>
      </c>
      <c r="L29" s="98">
        <f t="shared" si="10"/>
        <v>66098.180371973605</v>
      </c>
      <c r="M29" s="98">
        <f t="shared" si="10"/>
        <v>66379.171273833461</v>
      </c>
      <c r="N29" s="98">
        <f t="shared" si="10"/>
        <v>66661.567130202631</v>
      </c>
      <c r="O29" s="98">
        <f t="shared" si="10"/>
        <v>66945.37496585364</v>
      </c>
      <c r="P29" s="98">
        <f t="shared" si="10"/>
        <v>67230.60184068291</v>
      </c>
      <c r="Q29" s="98">
        <f t="shared" si="10"/>
        <v>67517.254849886318</v>
      </c>
      <c r="R29" s="98">
        <f t="shared" si="10"/>
        <v>67805.341124135739</v>
      </c>
      <c r="S29" s="98">
        <f t="shared" si="10"/>
        <v>68094.867829756404</v>
      </c>
      <c r="T29" s="98">
        <f t="shared" si="10"/>
        <v>68385.84216890519</v>
      </c>
      <c r="U29" s="98">
        <f t="shared" si="10"/>
        <v>68678.271379749713</v>
      </c>
      <c r="V29" s="98">
        <f t="shared" si="10"/>
        <v>68972.162736648461</v>
      </c>
      <c r="W29" s="98">
        <f t="shared" si="10"/>
        <v>69267.52355033168</v>
      </c>
      <c r="X29" s="98">
        <f t="shared" si="10"/>
        <v>69564.361168083342</v>
      </c>
      <c r="Y29" s="98">
        <f t="shared" si="10"/>
        <v>69862.682973923744</v>
      </c>
      <c r="Z29" s="98">
        <f t="shared" si="10"/>
        <v>70162.49638879337</v>
      </c>
      <c r="AA29" s="98">
        <f t="shared" si="10"/>
        <v>70463.808870737324</v>
      </c>
      <c r="AB29" s="98">
        <f t="shared" si="10"/>
        <v>70766.627915090998</v>
      </c>
      <c r="AC29" s="98">
        <f t="shared" si="10"/>
        <v>71070.961054666463</v>
      </c>
      <c r="AD29" s="98">
        <f t="shared" si="10"/>
        <v>71376.815859939787</v>
      </c>
      <c r="AE29" s="98">
        <f t="shared" si="10"/>
        <v>71684.199939239479</v>
      </c>
      <c r="AF29" s="98">
        <f t="shared" si="10"/>
        <v>71993.120938935666</v>
      </c>
      <c r="AG29" s="98">
        <f t="shared" si="10"/>
        <v>72303.586543630328</v>
      </c>
      <c r="AH29" s="104">
        <f t="shared" si="10"/>
        <v>72615.604476348468</v>
      </c>
    </row>
    <row r="30" spans="2:34" ht="15.75" thickBot="1">
      <c r="C30" s="69"/>
    </row>
    <row r="31" spans="2:34">
      <c r="B31" s="56" t="s">
        <v>139</v>
      </c>
      <c r="C31" s="70" t="s">
        <v>158</v>
      </c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8"/>
    </row>
    <row r="32" spans="2:34">
      <c r="B32" s="57" t="s">
        <v>140</v>
      </c>
      <c r="C32" s="205">
        <f>IF(Randbedingungen!$E$30="Spezifisch",Randbedingungen!E40,Randbedingungen!$E$32)</f>
        <v>0.02</v>
      </c>
      <c r="D32" s="105">
        <f>Zusammenfassung!F23</f>
        <v>156000</v>
      </c>
      <c r="E32" s="24">
        <f>Zusammenfassung!E23*(1+C32)</f>
        <v>159120</v>
      </c>
      <c r="F32" s="14">
        <f t="shared" ref="F32:AH32" si="11">E32*(1+$C$32)</f>
        <v>162302.39999999999</v>
      </c>
      <c r="G32" s="14">
        <f t="shared" si="11"/>
        <v>165548.448</v>
      </c>
      <c r="H32" s="14">
        <f t="shared" si="11"/>
        <v>168859.41696</v>
      </c>
      <c r="I32" s="14">
        <f t="shared" si="11"/>
        <v>172236.60529920002</v>
      </c>
      <c r="J32" s="14">
        <f t="shared" si="11"/>
        <v>175681.33740518402</v>
      </c>
      <c r="K32" s="14">
        <f t="shared" si="11"/>
        <v>179194.9641532877</v>
      </c>
      <c r="L32" s="14">
        <f t="shared" si="11"/>
        <v>182778.86343635345</v>
      </c>
      <c r="M32" s="14">
        <f t="shared" si="11"/>
        <v>186434.44070508052</v>
      </c>
      <c r="N32" s="14">
        <f t="shared" si="11"/>
        <v>190163.12951918214</v>
      </c>
      <c r="O32" s="14">
        <f t="shared" si="11"/>
        <v>193966.39210956579</v>
      </c>
      <c r="P32" s="14">
        <f t="shared" si="11"/>
        <v>197845.71995175711</v>
      </c>
      <c r="Q32" s="14">
        <f t="shared" si="11"/>
        <v>201802.63435079227</v>
      </c>
      <c r="R32" s="14">
        <f t="shared" si="11"/>
        <v>205838.68703780812</v>
      </c>
      <c r="S32" s="14">
        <f t="shared" si="11"/>
        <v>209955.4607785643</v>
      </c>
      <c r="T32" s="14">
        <f t="shared" si="11"/>
        <v>214154.56999413559</v>
      </c>
      <c r="U32" s="14">
        <f t="shared" si="11"/>
        <v>218437.6613940183</v>
      </c>
      <c r="V32" s="14">
        <f t="shared" si="11"/>
        <v>222806.41462189867</v>
      </c>
      <c r="W32" s="14">
        <f t="shared" si="11"/>
        <v>227262.54291433663</v>
      </c>
      <c r="X32" s="14">
        <f t="shared" si="11"/>
        <v>231807.79377262338</v>
      </c>
      <c r="Y32" s="14">
        <f t="shared" si="11"/>
        <v>236443.94964807585</v>
      </c>
      <c r="Z32" s="14">
        <f t="shared" si="11"/>
        <v>241172.82864103737</v>
      </c>
      <c r="AA32" s="14">
        <f t="shared" si="11"/>
        <v>245996.28521385812</v>
      </c>
      <c r="AB32" s="14">
        <f t="shared" si="11"/>
        <v>250916.2109181353</v>
      </c>
      <c r="AC32" s="14">
        <f t="shared" si="11"/>
        <v>255934.53513649802</v>
      </c>
      <c r="AD32" s="14">
        <f t="shared" si="11"/>
        <v>261053.22583922799</v>
      </c>
      <c r="AE32" s="14">
        <f t="shared" si="11"/>
        <v>266274.29035601253</v>
      </c>
      <c r="AF32" s="14">
        <f t="shared" si="11"/>
        <v>271599.7761631328</v>
      </c>
      <c r="AG32" s="14">
        <f t="shared" si="11"/>
        <v>277031.77168639546</v>
      </c>
      <c r="AH32" s="15">
        <f t="shared" si="11"/>
        <v>282572.40712012339</v>
      </c>
    </row>
    <row r="33" spans="2:34" ht="15.75" thickBot="1">
      <c r="B33" s="58" t="s">
        <v>141</v>
      </c>
      <c r="C33" s="206">
        <f>IF(Randbedingungen!$E$30="Spezifisch",Randbedingungen!E40,Randbedingungen!$E$32)</f>
        <v>0.02</v>
      </c>
      <c r="D33" s="108">
        <f>Zusammenfassung!F24</f>
        <v>18000</v>
      </c>
      <c r="E33" s="26">
        <f>Zusammenfassung!E24*(1+C33)</f>
        <v>18360</v>
      </c>
      <c r="F33" s="29">
        <f>E33*(1+$C$33)</f>
        <v>18727.2</v>
      </c>
      <c r="G33" s="29">
        <f t="shared" ref="G33:AH33" si="12">F33*(1+$C$33)</f>
        <v>19101.744000000002</v>
      </c>
      <c r="H33" s="29">
        <f t="shared" si="12"/>
        <v>19483.778880000002</v>
      </c>
      <c r="I33" s="29">
        <f t="shared" si="12"/>
        <v>19873.454457600001</v>
      </c>
      <c r="J33" s="29">
        <f t="shared" si="12"/>
        <v>20270.923546752001</v>
      </c>
      <c r="K33" s="29">
        <f t="shared" si="12"/>
        <v>20676.342017687042</v>
      </c>
      <c r="L33" s="29">
        <f t="shared" si="12"/>
        <v>21089.868858040783</v>
      </c>
      <c r="M33" s="29">
        <f t="shared" si="12"/>
        <v>21511.666235201599</v>
      </c>
      <c r="N33" s="29">
        <f t="shared" si="12"/>
        <v>21941.899559905632</v>
      </c>
      <c r="O33" s="29">
        <f t="shared" si="12"/>
        <v>22380.737551103746</v>
      </c>
      <c r="P33" s="29">
        <f t="shared" si="12"/>
        <v>22828.352302125822</v>
      </c>
      <c r="Q33" s="29">
        <f t="shared" si="12"/>
        <v>23284.91934816834</v>
      </c>
      <c r="R33" s="29">
        <f t="shared" si="12"/>
        <v>23750.617735131706</v>
      </c>
      <c r="S33" s="29">
        <f t="shared" si="12"/>
        <v>24225.63008983434</v>
      </c>
      <c r="T33" s="29">
        <f t="shared" si="12"/>
        <v>24710.142691631027</v>
      </c>
      <c r="U33" s="29">
        <f t="shared" si="12"/>
        <v>25204.345545463646</v>
      </c>
      <c r="V33" s="29">
        <f t="shared" si="12"/>
        <v>25708.432456372921</v>
      </c>
      <c r="W33" s="29">
        <f t="shared" si="12"/>
        <v>26222.60110550038</v>
      </c>
      <c r="X33" s="29">
        <f t="shared" si="12"/>
        <v>26747.053127610387</v>
      </c>
      <c r="Y33" s="29">
        <f t="shared" si="12"/>
        <v>27281.994190162593</v>
      </c>
      <c r="Z33" s="29">
        <f t="shared" si="12"/>
        <v>27827.634073965844</v>
      </c>
      <c r="AA33" s="29">
        <f t="shared" si="12"/>
        <v>28384.18675544516</v>
      </c>
      <c r="AB33" s="29">
        <f t="shared" si="12"/>
        <v>28951.870490554065</v>
      </c>
      <c r="AC33" s="29">
        <f t="shared" si="12"/>
        <v>29530.907900365146</v>
      </c>
      <c r="AD33" s="29">
        <f t="shared" si="12"/>
        <v>30121.526058372448</v>
      </c>
      <c r="AE33" s="29">
        <f t="shared" si="12"/>
        <v>30723.956579539899</v>
      </c>
      <c r="AF33" s="29">
        <f t="shared" si="12"/>
        <v>31338.435711130696</v>
      </c>
      <c r="AG33" s="29">
        <f t="shared" si="12"/>
        <v>31965.204425353309</v>
      </c>
      <c r="AH33" s="59">
        <f t="shared" si="12"/>
        <v>32604.508513860375</v>
      </c>
    </row>
    <row r="34" spans="2:34" ht="16.5" thickTop="1" thickBot="1">
      <c r="B34" s="60" t="s">
        <v>131</v>
      </c>
      <c r="C34" s="61"/>
      <c r="D34" s="112">
        <f>Zusammenfassung!F25</f>
        <v>174000</v>
      </c>
      <c r="E34" s="62">
        <f>SUM(E32:E33)</f>
        <v>177480</v>
      </c>
      <c r="F34" s="62">
        <f t="shared" ref="F34:AH34" si="13">SUM(F32:F33)</f>
        <v>181029.6</v>
      </c>
      <c r="G34" s="62">
        <f t="shared" si="13"/>
        <v>184650.19200000001</v>
      </c>
      <c r="H34" s="62">
        <f t="shared" si="13"/>
        <v>188343.19584</v>
      </c>
      <c r="I34" s="62">
        <f t="shared" si="13"/>
        <v>192110.05975680001</v>
      </c>
      <c r="J34" s="62">
        <f t="shared" si="13"/>
        <v>195952.26095193601</v>
      </c>
      <c r="K34" s="62">
        <f t="shared" si="13"/>
        <v>199871.30617097474</v>
      </c>
      <c r="L34" s="62">
        <f t="shared" si="13"/>
        <v>203868.73229439423</v>
      </c>
      <c r="M34" s="62">
        <f t="shared" si="13"/>
        <v>207946.1069402821</v>
      </c>
      <c r="N34" s="62">
        <f t="shared" si="13"/>
        <v>212105.02907908778</v>
      </c>
      <c r="O34" s="62">
        <f t="shared" si="13"/>
        <v>216347.12966066954</v>
      </c>
      <c r="P34" s="62">
        <f t="shared" si="13"/>
        <v>220674.07225388294</v>
      </c>
      <c r="Q34" s="62">
        <f t="shared" si="13"/>
        <v>225087.5536989606</v>
      </c>
      <c r="R34" s="62">
        <f t="shared" si="13"/>
        <v>229589.30477293982</v>
      </c>
      <c r="S34" s="62">
        <f t="shared" si="13"/>
        <v>234181.09086839863</v>
      </c>
      <c r="T34" s="62">
        <f t="shared" si="13"/>
        <v>238864.7126857666</v>
      </c>
      <c r="U34" s="62">
        <f t="shared" si="13"/>
        <v>243642.00693948194</v>
      </c>
      <c r="V34" s="62">
        <f t="shared" si="13"/>
        <v>248514.84707827159</v>
      </c>
      <c r="W34" s="62">
        <f t="shared" si="13"/>
        <v>253485.14401983703</v>
      </c>
      <c r="X34" s="62">
        <f t="shared" si="13"/>
        <v>258554.84690023377</v>
      </c>
      <c r="Y34" s="62">
        <f t="shared" si="13"/>
        <v>263725.94383823843</v>
      </c>
      <c r="Z34" s="62">
        <f t="shared" si="13"/>
        <v>269000.46271500323</v>
      </c>
      <c r="AA34" s="62">
        <f t="shared" si="13"/>
        <v>274380.47196930327</v>
      </c>
      <c r="AB34" s="62">
        <f t="shared" si="13"/>
        <v>279868.08140868938</v>
      </c>
      <c r="AC34" s="62">
        <f t="shared" si="13"/>
        <v>285465.44303686317</v>
      </c>
      <c r="AD34" s="62">
        <f t="shared" si="13"/>
        <v>291174.75189760042</v>
      </c>
      <c r="AE34" s="62">
        <f t="shared" si="13"/>
        <v>296998.24693555245</v>
      </c>
      <c r="AF34" s="62">
        <f t="shared" si="13"/>
        <v>302938.21187426348</v>
      </c>
      <c r="AG34" s="62">
        <f t="shared" si="13"/>
        <v>308996.97611174878</v>
      </c>
      <c r="AH34" s="63">
        <f t="shared" si="13"/>
        <v>315176.91563398379</v>
      </c>
    </row>
    <row r="36" spans="2:34">
      <c r="B36" s="21" t="s">
        <v>163</v>
      </c>
    </row>
    <row r="37" spans="2:34">
      <c r="B37" s="77" t="s">
        <v>164</v>
      </c>
      <c r="C37" s="80">
        <f>Randbedingungen!E29</f>
        <v>2.9033E-2</v>
      </c>
      <c r="D37" s="81">
        <f t="shared" ref="D37:AH37" si="14">1/(1+$C$37)^D1</f>
        <v>1</v>
      </c>
      <c r="E37" s="81">
        <f t="shared" si="14"/>
        <v>0.97178613319495089</v>
      </c>
      <c r="F37" s="81">
        <f t="shared" si="14"/>
        <v>0.94436828866999489</v>
      </c>
      <c r="G37" s="81">
        <f t="shared" si="14"/>
        <v>0.91772400755854766</v>
      </c>
      <c r="H37" s="81">
        <f t="shared" si="14"/>
        <v>0.8918314646454949</v>
      </c>
      <c r="I37" s="81">
        <f t="shared" si="14"/>
        <v>0.86666945048943522</v>
      </c>
      <c r="J37" s="81">
        <f t="shared" si="14"/>
        <v>0.84221735404932108</v>
      </c>
      <c r="K37" s="81">
        <f t="shared" si="14"/>
        <v>0.81845514580127288</v>
      </c>
      <c r="L37" s="81">
        <f t="shared" si="14"/>
        <v>0.79536336133172869</v>
      </c>
      <c r="M37" s="81">
        <f t="shared" si="14"/>
        <v>0.77292308539349919</v>
      </c>
      <c r="N37" s="81">
        <f t="shared" si="14"/>
        <v>0.75111593641165941</v>
      </c>
      <c r="O37" s="81">
        <f t="shared" si="14"/>
        <v>0.72992405142659122</v>
      </c>
      <c r="P37" s="81">
        <f t="shared" si="14"/>
        <v>0.70933007146183968</v>
      </c>
      <c r="Q37" s="81">
        <f t="shared" si="14"/>
        <v>0.68931712730479944</v>
      </c>
      <c r="R37" s="81">
        <f t="shared" si="14"/>
        <v>0.66986882568858264</v>
      </c>
      <c r="S37" s="81">
        <f t="shared" si="14"/>
        <v>0.65096923586375044</v>
      </c>
      <c r="T37" s="81">
        <f t="shared" si="14"/>
        <v>0.63260287654890601</v>
      </c>
      <c r="U37" s="81">
        <f t="shared" si="14"/>
        <v>0.61475470324946424</v>
      </c>
      <c r="V37" s="81">
        <f t="shared" si="14"/>
        <v>0.59741009593420646</v>
      </c>
      <c r="W37" s="81">
        <f t="shared" si="14"/>
        <v>0.5805548470595272</v>
      </c>
      <c r="X37" s="81">
        <f t="shared" si="14"/>
        <v>0.56417514993156404</v>
      </c>
      <c r="Y37" s="81">
        <f t="shared" si="14"/>
        <v>0.5482575873966764</v>
      </c>
      <c r="Z37" s="81">
        <f t="shared" si="14"/>
        <v>0.53278912085100893</v>
      </c>
      <c r="AA37" s="81">
        <f t="shared" si="14"/>
        <v>0.51775707956013939</v>
      </c>
      <c r="AB37" s="81">
        <f t="shared" si="14"/>
        <v>0.50314915028005847</v>
      </c>
      <c r="AC37" s="81">
        <f t="shared" si="14"/>
        <v>0.48895336717098326</v>
      </c>
      <c r="AD37" s="81">
        <f t="shared" si="14"/>
        <v>0.47515810199574093</v>
      </c>
      <c r="AE37" s="81">
        <f t="shared" si="14"/>
        <v>0.46175205459469321</v>
      </c>
      <c r="AF37" s="81">
        <f t="shared" si="14"/>
        <v>0.44872424362940083</v>
      </c>
      <c r="AG37" s="81">
        <f t="shared" si="14"/>
        <v>0.43606399758744457</v>
      </c>
      <c r="AH37" s="81">
        <f t="shared" si="14"/>
        <v>0.42376094604103498</v>
      </c>
    </row>
    <row r="38" spans="2:34">
      <c r="B38" s="77" t="s">
        <v>165</v>
      </c>
      <c r="C38" s="78"/>
      <c r="D38" s="79">
        <f>D10</f>
        <v>-214500</v>
      </c>
      <c r="E38" s="79">
        <f t="shared" ref="E38:AH38" si="15">E34-(E22+E18+E29+E10)</f>
        <v>23069.800000000017</v>
      </c>
      <c r="F38" s="79">
        <f t="shared" si="15"/>
        <v>25447.321600000054</v>
      </c>
      <c r="G38" s="79">
        <f t="shared" si="15"/>
        <v>27883.813139200065</v>
      </c>
      <c r="H38" s="79">
        <f t="shared" si="15"/>
        <v>30380.548897170462</v>
      </c>
      <c r="I38" s="79">
        <f t="shared" si="15"/>
        <v>-6998.6128739190463</v>
      </c>
      <c r="J38" s="79">
        <f t="shared" si="15"/>
        <v>35559.98308376866</v>
      </c>
      <c r="K38" s="79">
        <f t="shared" si="15"/>
        <v>38245.364602605987</v>
      </c>
      <c r="L38" s="79">
        <f t="shared" si="15"/>
        <v>40996.35763648522</v>
      </c>
      <c r="M38" s="79">
        <f t="shared" si="15"/>
        <v>43814.374344050622</v>
      </c>
      <c r="N38" s="79">
        <f t="shared" si="15"/>
        <v>2085.4907664310886</v>
      </c>
      <c r="O38" s="79">
        <f t="shared" si="15"/>
        <v>49657.274461936264</v>
      </c>
      <c r="P38" s="79">
        <f t="shared" si="15"/>
        <v>52685.131044362148</v>
      </c>
      <c r="Q38" s="79">
        <f t="shared" si="15"/>
        <v>55785.958878384117</v>
      </c>
      <c r="R38" s="79">
        <f t="shared" si="15"/>
        <v>58961.322679054691</v>
      </c>
      <c r="S38" s="79">
        <f t="shared" si="15"/>
        <v>-87310.838375963416</v>
      </c>
      <c r="T38" s="79">
        <f t="shared" si="15"/>
        <v>65542.079733130464</v>
      </c>
      <c r="U38" s="79">
        <f t="shared" si="15"/>
        <v>68950.767107762571</v>
      </c>
      <c r="V38" s="79">
        <f t="shared" si="15"/>
        <v>72440.580055427679</v>
      </c>
      <c r="W38" s="79">
        <f t="shared" si="15"/>
        <v>76013.252074639284</v>
      </c>
      <c r="X38" s="79">
        <f t="shared" si="15"/>
        <v>23991.368447779154</v>
      </c>
      <c r="Y38" s="79">
        <f t="shared" si="15"/>
        <v>83414.287311255408</v>
      </c>
      <c r="Z38" s="79">
        <f t="shared" si="15"/>
        <v>87246.299724627985</v>
      </c>
      <c r="AA38" s="79">
        <f t="shared" si="15"/>
        <v>91168.471109329053</v>
      </c>
      <c r="AB38" s="79">
        <f t="shared" si="15"/>
        <v>95182.721686955891</v>
      </c>
      <c r="AC38" s="79">
        <f t="shared" si="15"/>
        <v>37090.054358957568</v>
      </c>
      <c r="AD38" s="79">
        <f t="shared" si="15"/>
        <v>103495.34041876817</v>
      </c>
      <c r="AE38" s="79">
        <f t="shared" si="15"/>
        <v>107797.75057003467</v>
      </c>
      <c r="AF38" s="79">
        <f t="shared" si="15"/>
        <v>112200.3255752672</v>
      </c>
      <c r="AG38" s="79">
        <f t="shared" si="15"/>
        <v>116705.1922112527</v>
      </c>
      <c r="AH38" s="79">
        <f t="shared" si="15"/>
        <v>121314.52112597215</v>
      </c>
    </row>
    <row r="39" spans="2:34">
      <c r="B39" s="77" t="s">
        <v>166</v>
      </c>
      <c r="C39" s="78"/>
      <c r="D39" s="79">
        <f t="shared" ref="D39:AH39" si="16">D38*D37</f>
        <v>-214500</v>
      </c>
      <c r="E39" s="79">
        <f t="shared" si="16"/>
        <v>22418.911735580896</v>
      </c>
      <c r="F39" s="79">
        <f t="shared" si="16"/>
        <v>24031.643550627046</v>
      </c>
      <c r="G39" s="79">
        <f t="shared" si="16"/>
        <v>25589.64474012037</v>
      </c>
      <c r="H39" s="79">
        <f t="shared" si="16"/>
        <v>27094.329419697609</v>
      </c>
      <c r="I39" s="79">
        <f t="shared" si="16"/>
        <v>-6065.4839736277072</v>
      </c>
      <c r="J39" s="79">
        <f t="shared" si="16"/>
        <v>29949.234862850259</v>
      </c>
      <c r="K39" s="79">
        <f t="shared" si="16"/>
        <v>31302.115462048725</v>
      </c>
      <c r="L39" s="79">
        <f t="shared" si="16"/>
        <v>32607.000812112568</v>
      </c>
      <c r="M39" s="79">
        <f t="shared" si="16"/>
        <v>33865.141402589376</v>
      </c>
      <c r="N39" s="79">
        <f t="shared" si="16"/>
        <v>1566.4453499057563</v>
      </c>
      <c r="O39" s="79">
        <f t="shared" si="16"/>
        <v>36246.038958058722</v>
      </c>
      <c r="P39" s="79">
        <f t="shared" si="16"/>
        <v>37371.147768673793</v>
      </c>
      <c r="Q39" s="79">
        <f t="shared" si="16"/>
        <v>38454.216917991413</v>
      </c>
      <c r="R39" s="79">
        <f t="shared" si="16"/>
        <v>39496.351984063964</v>
      </c>
      <c r="S39" s="79">
        <f t="shared" si="16"/>
        <v>-56836.669740224323</v>
      </c>
      <c r="T39" s="79">
        <f t="shared" si="16"/>
        <v>41462.108174176086</v>
      </c>
      <c r="U39" s="79">
        <f t="shared" si="16"/>
        <v>42387.808372155501</v>
      </c>
      <c r="V39" s="79">
        <f t="shared" si="16"/>
        <v>43276.733880442611</v>
      </c>
      <c r="W39" s="79">
        <f t="shared" si="16"/>
        <v>44129.861932689499</v>
      </c>
      <c r="X39" s="79">
        <f t="shared" si="16"/>
        <v>13535.333891089198</v>
      </c>
      <c r="Y39" s="79">
        <f t="shared" si="16"/>
        <v>45732.515915682088</v>
      </c>
      <c r="Z39" s="79">
        <f t="shared" si="16"/>
        <v>46483.87932778817</v>
      </c>
      <c r="AA39" s="79">
        <f t="shared" si="16"/>
        <v>47203.121349529152</v>
      </c>
      <c r="AB39" s="79">
        <f t="shared" si="16"/>
        <v>47891.105538135147</v>
      </c>
      <c r="AC39" s="79">
        <f t="shared" si="16"/>
        <v>18135.306967367109</v>
      </c>
      <c r="AD39" s="79">
        <f t="shared" si="16"/>
        <v>49176.64951878498</v>
      </c>
      <c r="AE39" s="79">
        <f t="shared" si="16"/>
        <v>49775.832806399769</v>
      </c>
      <c r="AF39" s="79">
        <f t="shared" si="16"/>
        <v>50347.006228734288</v>
      </c>
      <c r="AG39" s="79">
        <f t="shared" si="16"/>
        <v>50890.932654849952</v>
      </c>
      <c r="AH39" s="79">
        <f t="shared" si="16"/>
        <v>51408.356240857087</v>
      </c>
    </row>
    <row r="40" spans="2:34">
      <c r="B40" s="77" t="s">
        <v>215</v>
      </c>
      <c r="C40" s="78"/>
      <c r="D40" s="79">
        <f>D39</f>
        <v>-214500</v>
      </c>
      <c r="E40" s="79">
        <f>D40+E39</f>
        <v>-192081.08826441912</v>
      </c>
      <c r="F40" s="79">
        <f t="shared" ref="F40:AH40" si="17">E40+F39</f>
        <v>-168049.44471379207</v>
      </c>
      <c r="G40" s="79">
        <f t="shared" si="17"/>
        <v>-142459.7999736717</v>
      </c>
      <c r="H40" s="79">
        <f t="shared" si="17"/>
        <v>-115365.4705539741</v>
      </c>
      <c r="I40" s="79">
        <f t="shared" si="17"/>
        <v>-121430.9545276018</v>
      </c>
      <c r="J40" s="79">
        <f t="shared" si="17"/>
        <v>-91481.719664751552</v>
      </c>
      <c r="K40" s="79">
        <f t="shared" si="17"/>
        <v>-60179.604202702831</v>
      </c>
      <c r="L40" s="79">
        <f t="shared" si="17"/>
        <v>-27572.603390590262</v>
      </c>
      <c r="M40" s="79">
        <f t="shared" si="17"/>
        <v>6292.5380119991132</v>
      </c>
      <c r="N40" s="79">
        <f t="shared" si="17"/>
        <v>7858.9833619048695</v>
      </c>
      <c r="O40" s="79">
        <f t="shared" si="17"/>
        <v>44105.022319963595</v>
      </c>
      <c r="P40" s="79">
        <f t="shared" si="17"/>
        <v>81476.170088637387</v>
      </c>
      <c r="Q40" s="79">
        <f t="shared" si="17"/>
        <v>119930.38700662879</v>
      </c>
      <c r="R40" s="79">
        <f t="shared" si="17"/>
        <v>159426.73899069277</v>
      </c>
      <c r="S40" s="79">
        <f t="shared" si="17"/>
        <v>102590.06925046846</v>
      </c>
      <c r="T40" s="79">
        <f t="shared" si="17"/>
        <v>144052.17742464453</v>
      </c>
      <c r="U40" s="79">
        <f t="shared" si="17"/>
        <v>186439.98579680003</v>
      </c>
      <c r="V40" s="79">
        <f t="shared" si="17"/>
        <v>229716.71967724263</v>
      </c>
      <c r="W40" s="79">
        <f t="shared" si="17"/>
        <v>273846.58160993212</v>
      </c>
      <c r="X40" s="79">
        <f t="shared" si="17"/>
        <v>287381.91550102131</v>
      </c>
      <c r="Y40" s="79">
        <f t="shared" si="17"/>
        <v>333114.43141670339</v>
      </c>
      <c r="Z40" s="79">
        <f t="shared" si="17"/>
        <v>379598.31074449158</v>
      </c>
      <c r="AA40" s="79">
        <f t="shared" si="17"/>
        <v>426801.43209402071</v>
      </c>
      <c r="AB40" s="79">
        <f t="shared" si="17"/>
        <v>474692.53763215587</v>
      </c>
      <c r="AC40" s="79">
        <f t="shared" si="17"/>
        <v>492827.844599523</v>
      </c>
      <c r="AD40" s="79">
        <f t="shared" si="17"/>
        <v>542004.49411830795</v>
      </c>
      <c r="AE40" s="79">
        <f t="shared" si="17"/>
        <v>591780.32692470774</v>
      </c>
      <c r="AF40" s="79">
        <f t="shared" si="17"/>
        <v>642127.33315344201</v>
      </c>
      <c r="AG40" s="79">
        <f t="shared" si="17"/>
        <v>693018.26580829197</v>
      </c>
      <c r="AH40" s="79">
        <f t="shared" si="17"/>
        <v>744426.62204914901</v>
      </c>
    </row>
    <row r="41" spans="2:34" ht="15.75" thickBot="1">
      <c r="B41" s="248" t="s">
        <v>214</v>
      </c>
      <c r="D41" s="249"/>
      <c r="E41" s="249">
        <f>IF(E40&lt;=0,0,1)</f>
        <v>0</v>
      </c>
      <c r="F41" s="249">
        <f t="shared" ref="F41:AH41" si="18">IF(F40&lt;=0,0,1)</f>
        <v>0</v>
      </c>
      <c r="G41" s="249">
        <f t="shared" si="18"/>
        <v>0</v>
      </c>
      <c r="H41" s="249">
        <f t="shared" si="18"/>
        <v>0</v>
      </c>
      <c r="I41" s="249">
        <f t="shared" si="18"/>
        <v>0</v>
      </c>
      <c r="J41" s="249">
        <f t="shared" si="18"/>
        <v>0</v>
      </c>
      <c r="K41" s="249">
        <f t="shared" si="18"/>
        <v>0</v>
      </c>
      <c r="L41" s="249">
        <f t="shared" si="18"/>
        <v>0</v>
      </c>
      <c r="M41" s="249">
        <f t="shared" si="18"/>
        <v>1</v>
      </c>
      <c r="N41" s="249">
        <f t="shared" si="18"/>
        <v>1</v>
      </c>
      <c r="O41" s="249">
        <f t="shared" si="18"/>
        <v>1</v>
      </c>
      <c r="P41" s="249">
        <f t="shared" si="18"/>
        <v>1</v>
      </c>
      <c r="Q41" s="249">
        <f t="shared" si="18"/>
        <v>1</v>
      </c>
      <c r="R41" s="249">
        <f t="shared" si="18"/>
        <v>1</v>
      </c>
      <c r="S41" s="249">
        <f t="shared" si="18"/>
        <v>1</v>
      </c>
      <c r="T41" s="249">
        <f t="shared" si="18"/>
        <v>1</v>
      </c>
      <c r="U41" s="249">
        <f t="shared" si="18"/>
        <v>1</v>
      </c>
      <c r="V41" s="249">
        <f t="shared" si="18"/>
        <v>1</v>
      </c>
      <c r="W41" s="249">
        <f t="shared" si="18"/>
        <v>1</v>
      </c>
      <c r="X41" s="249">
        <f t="shared" si="18"/>
        <v>1</v>
      </c>
      <c r="Y41" s="249">
        <f t="shared" si="18"/>
        <v>1</v>
      </c>
      <c r="Z41" s="249">
        <f t="shared" si="18"/>
        <v>1</v>
      </c>
      <c r="AA41" s="249">
        <f t="shared" si="18"/>
        <v>1</v>
      </c>
      <c r="AB41" s="249">
        <f t="shared" si="18"/>
        <v>1</v>
      </c>
      <c r="AC41" s="249">
        <f t="shared" si="18"/>
        <v>1</v>
      </c>
      <c r="AD41" s="249">
        <f t="shared" si="18"/>
        <v>1</v>
      </c>
      <c r="AE41" s="249">
        <f t="shared" si="18"/>
        <v>1</v>
      </c>
      <c r="AF41" s="249">
        <f t="shared" si="18"/>
        <v>1</v>
      </c>
      <c r="AG41" s="249">
        <f t="shared" si="18"/>
        <v>1</v>
      </c>
      <c r="AH41" s="249">
        <f t="shared" si="18"/>
        <v>1</v>
      </c>
    </row>
    <row r="42" spans="2:34">
      <c r="B42" s="75" t="s">
        <v>168</v>
      </c>
      <c r="C42" s="73">
        <f>ROUND(SUM(D39:AH39),0)</f>
        <v>744427</v>
      </c>
      <c r="D42" s="450" t="str">
        <f>IF(C42=C43,"Erfolgreich","Fehlerhaft")</f>
        <v>Erfolgreich</v>
      </c>
    </row>
    <row r="43" spans="2:34" ht="15.75" thickBot="1">
      <c r="B43" s="76" t="s">
        <v>169</v>
      </c>
      <c r="C43" s="74">
        <f>ROUND(NPV(C37,E38:AH38)+D38,0)</f>
        <v>744427</v>
      </c>
      <c r="D43" s="451"/>
    </row>
    <row r="44" spans="2:34" ht="15.75" thickBot="1"/>
    <row r="45" spans="2:34" ht="15.75" thickBot="1">
      <c r="B45" s="228" t="s">
        <v>170</v>
      </c>
      <c r="C45" s="229">
        <f>(C37*(1+C37)^30)/((1+C37)^30-1)</f>
        <v>5.0383603472435742E-2</v>
      </c>
      <c r="D45" s="230" t="s">
        <v>167</v>
      </c>
    </row>
    <row r="46" spans="2:34">
      <c r="B46" s="75" t="s">
        <v>171</v>
      </c>
      <c r="C46" s="73">
        <f>ROUND(C42*C45,0)</f>
        <v>37507</v>
      </c>
      <c r="D46" s="450" t="str">
        <f>IF(C46=C47,"Erfolgreich","Fehlerhaft")</f>
        <v>Erfolgreich</v>
      </c>
      <c r="G46" s="31"/>
      <c r="H46" s="32"/>
      <c r="I46" s="33"/>
    </row>
    <row r="47" spans="2:34" ht="15.75" thickBot="1">
      <c r="B47" s="76" t="s">
        <v>172</v>
      </c>
      <c r="C47" s="74">
        <f>ROUND(PMT(C37,Randbedingungen!E5,-C43),0)</f>
        <v>37507</v>
      </c>
      <c r="D47" s="451"/>
      <c r="G47" s="31"/>
      <c r="H47" s="32"/>
      <c r="I47" s="33"/>
    </row>
    <row r="48" spans="2:34">
      <c r="G48" s="31"/>
      <c r="H48" s="32"/>
      <c r="I48" s="33"/>
    </row>
    <row r="49" spans="2:9">
      <c r="G49" s="31"/>
      <c r="H49" s="32"/>
      <c r="I49" s="33"/>
    </row>
    <row r="50" spans="2:9">
      <c r="G50" s="31"/>
      <c r="H50" s="32"/>
    </row>
    <row r="51" spans="2:9" ht="15.75" thickBot="1">
      <c r="C51" s="69" t="s">
        <v>260</v>
      </c>
      <c r="D51" s="69" t="s">
        <v>201</v>
      </c>
    </row>
    <row r="52" spans="2:9">
      <c r="B52" s="218" t="s">
        <v>125</v>
      </c>
      <c r="C52" s="275">
        <f>ROUND(NPV(C37,E10:AH10),0)*(-1)+D10</f>
        <v>-441785</v>
      </c>
      <c r="D52" s="219">
        <f>C52*$C$45</f>
        <v>-22258.720260070026</v>
      </c>
    </row>
    <row r="53" spans="2:9">
      <c r="B53" s="220" t="s">
        <v>1</v>
      </c>
      <c r="C53" s="274">
        <f>ROUND(NPV(C37,E18:AH18),0)*(-1)</f>
        <v>-1421609</v>
      </c>
      <c r="D53" s="221">
        <f t="shared" ref="D53:D56" si="19">C53*$C$45</f>
        <v>-71625.784148845909</v>
      </c>
    </row>
    <row r="54" spans="2:9">
      <c r="B54" s="220" t="s">
        <v>26</v>
      </c>
      <c r="C54" s="274">
        <f>ROUND(NPV(C37,E22:AH22),0)*(-1)</f>
        <v>-615395</v>
      </c>
      <c r="D54" s="221">
        <f t="shared" si="19"/>
        <v>-31005.817658919594</v>
      </c>
    </row>
    <row r="55" spans="2:9">
      <c r="B55" s="220" t="s">
        <v>69</v>
      </c>
      <c r="C55" s="274">
        <f>ROUND(NPV(C37,E29:AH29),0)*(-1)</f>
        <v>-1343278</v>
      </c>
      <c r="D55" s="221">
        <f t="shared" si="19"/>
        <v>-67679.186105246539</v>
      </c>
    </row>
    <row r="56" spans="2:9" ht="15.75" thickBot="1">
      <c r="B56" s="222" t="s">
        <v>139</v>
      </c>
      <c r="C56" s="276">
        <f>ROUND(NPV(C37,E34:AH34),0)</f>
        <v>4566494</v>
      </c>
      <c r="D56" s="223">
        <f t="shared" si="19"/>
        <v>230076.42295525697</v>
      </c>
    </row>
    <row r="57" spans="2:9" ht="15.75" thickBot="1"/>
    <row r="58" spans="2:9" ht="15.75" thickBot="1">
      <c r="B58" s="251" t="s">
        <v>134</v>
      </c>
      <c r="C58" s="277">
        <f>C56+C55+C54+C53+C52</f>
        <v>744427</v>
      </c>
      <c r="D58" s="225">
        <f>D56+D55+D54+D53+D52</f>
        <v>37506.914782174921</v>
      </c>
    </row>
  </sheetData>
  <sheetProtection algorithmName="SHA-512" hashValue="XdHm/Ml7vZC42V/pViHgeeZ7NSGWggSzXmliwCtHj53SwDcPAo+4F8pA6bS4gkiiOBH6PAMWR5E/pWlBEMMT6A==" saltValue="7AM933pTcHp1TIXEjryB9w==" spinCount="100000" sheet="1" objects="1" scenarios="1"/>
  <mergeCells count="2">
    <mergeCell ref="D42:D43"/>
    <mergeCell ref="D46:D47"/>
  </mergeCells>
  <conditionalFormatting sqref="D42">
    <cfRule type="containsText" dxfId="7" priority="3" operator="containsText" text="Fehlerhaft">
      <formula>NOT(ISERROR(SEARCH("Fehlerhaft",D42)))</formula>
    </cfRule>
    <cfRule type="containsText" dxfId="6" priority="4" operator="containsText" text="Erfolgreich">
      <formula>NOT(ISERROR(SEARCH("Erfolgreich",D42)))</formula>
    </cfRule>
  </conditionalFormatting>
  <conditionalFormatting sqref="D46:D47">
    <cfRule type="containsText" dxfId="5" priority="1" operator="containsText" text="Fehlerhaft">
      <formula>NOT(ISERROR(SEARCH("Fehlerhaft",D46)))</formula>
    </cfRule>
    <cfRule type="containsText" dxfId="4" priority="2" operator="containsText" text="Erfolgreich">
      <formula>NOT(ISERROR(SEARCH("Erfolgreich",D46)))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A2AC9-F16E-4C84-873E-9E1F0FB6C9AB}">
  <sheetPr>
    <tabColor rgb="FFFF0000"/>
  </sheetPr>
  <dimension ref="A1:AO59"/>
  <sheetViews>
    <sheetView showGridLines="0" showOutlineSymbols="0" showWhiteSpace="0" zoomScale="70" zoomScaleNormal="70" workbookViewId="0">
      <selection activeCell="C26" sqref="C26"/>
    </sheetView>
  </sheetViews>
  <sheetFormatPr baseColWidth="10" defaultColWidth="11.42578125" defaultRowHeight="15"/>
  <cols>
    <col min="1" max="1" width="7.5703125" customWidth="1"/>
    <col min="2" max="2" width="20.42578125" customWidth="1"/>
    <col min="3" max="3" width="15.140625" customWidth="1"/>
    <col min="4" max="4" width="14.5703125" bestFit="1" customWidth="1"/>
    <col min="5" max="34" width="15.7109375" customWidth="1"/>
  </cols>
  <sheetData>
    <row r="1" spans="1:41" s="23" customFormat="1" ht="31.5" customHeight="1">
      <c r="B1" s="35" t="s">
        <v>154</v>
      </c>
      <c r="C1" s="35" t="s">
        <v>150</v>
      </c>
      <c r="D1" s="35">
        <v>0</v>
      </c>
      <c r="E1" s="35">
        <v>1</v>
      </c>
      <c r="F1" s="35">
        <v>2</v>
      </c>
      <c r="G1" s="35">
        <v>3</v>
      </c>
      <c r="H1" s="35">
        <v>4</v>
      </c>
      <c r="I1" s="35">
        <v>5</v>
      </c>
      <c r="J1" s="35">
        <v>6</v>
      </c>
      <c r="K1" s="35">
        <v>7</v>
      </c>
      <c r="L1" s="35">
        <v>8</v>
      </c>
      <c r="M1" s="35">
        <v>9</v>
      </c>
      <c r="N1" s="35">
        <v>10</v>
      </c>
      <c r="O1" s="35">
        <v>11</v>
      </c>
      <c r="P1" s="35">
        <v>12</v>
      </c>
      <c r="Q1" s="35">
        <v>13</v>
      </c>
      <c r="R1" s="35">
        <v>14</v>
      </c>
      <c r="S1" s="35">
        <v>15</v>
      </c>
      <c r="T1" s="35">
        <v>16</v>
      </c>
      <c r="U1" s="35">
        <v>17</v>
      </c>
      <c r="V1" s="35">
        <v>18</v>
      </c>
      <c r="W1" s="35">
        <v>19</v>
      </c>
      <c r="X1" s="35">
        <v>20</v>
      </c>
      <c r="Y1" s="35">
        <v>21</v>
      </c>
      <c r="Z1" s="35">
        <v>22</v>
      </c>
      <c r="AA1" s="35">
        <v>23</v>
      </c>
      <c r="AB1" s="35">
        <v>24</v>
      </c>
      <c r="AC1" s="35">
        <v>25</v>
      </c>
      <c r="AD1" s="35">
        <v>26</v>
      </c>
      <c r="AE1" s="35">
        <v>27</v>
      </c>
      <c r="AF1" s="35">
        <v>28</v>
      </c>
      <c r="AG1" s="35">
        <v>29</v>
      </c>
      <c r="AH1" s="35">
        <v>30</v>
      </c>
    </row>
    <row r="3" spans="1:41" ht="15.75" thickBot="1"/>
    <row r="4" spans="1:41">
      <c r="B4" s="36" t="s">
        <v>126</v>
      </c>
      <c r="C4" s="210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8"/>
    </row>
    <row r="5" spans="1:41">
      <c r="B5" s="39" t="s">
        <v>155</v>
      </c>
      <c r="C5" s="67">
        <f>Zusammenfassung!G4</f>
        <v>0</v>
      </c>
      <c r="D5" s="14">
        <f>C5*-1</f>
        <v>0</v>
      </c>
      <c r="E5" s="209">
        <f>IF(AND(MOD(E1,Randbedingungen!$E$11)=0,E1&lt;Randbedingungen!$E$5),$D$5*Randbedingungen!$E$18,0)</f>
        <v>0</v>
      </c>
      <c r="F5" s="209">
        <f>IF(AND(MOD(F1,Randbedingungen!$E$11)=0,F1&lt;Randbedingungen!$E$5),$D$5*Randbedingungen!$E$18,0)</f>
        <v>0</v>
      </c>
      <c r="G5" s="209">
        <f>IF(AND(MOD(G1,Randbedingungen!$E$11)=0,G1&lt;Randbedingungen!$E$5),$D$5*Randbedingungen!$E$18,0)</f>
        <v>0</v>
      </c>
      <c r="H5" s="209">
        <f>IF(AND(MOD(H1,Randbedingungen!$E$11)=0,H1&lt;Randbedingungen!$E$5),$D$5*Randbedingungen!$E$18,0)</f>
        <v>0</v>
      </c>
      <c r="I5" s="209">
        <f>IF(AND(MOD(I1,Randbedingungen!$E$11)=0,I1&lt;Randbedingungen!$E$5),$D$5*Randbedingungen!$E$18,0)</f>
        <v>0</v>
      </c>
      <c r="J5" s="209">
        <f>IF(AND(MOD(J1,Randbedingungen!$E$11)=0,J1&lt;Randbedingungen!$E$5),$D$5*Randbedingungen!$E$18,0)</f>
        <v>0</v>
      </c>
      <c r="K5" s="209">
        <f>IF(AND(MOD(K1,Randbedingungen!$E$11)=0,K1&lt;Randbedingungen!$E$5),$D$5*Randbedingungen!$E$18,0)</f>
        <v>0</v>
      </c>
      <c r="L5" s="209">
        <f>IF(AND(MOD(L1,Randbedingungen!$E$11)=0,L1&lt;Randbedingungen!$E$5),$D$5*Randbedingungen!$E$18,0)</f>
        <v>0</v>
      </c>
      <c r="M5" s="209">
        <f>IF(AND(MOD(M1,Randbedingungen!$E$11)=0,M1&lt;Randbedingungen!$E$5),$D$5*Randbedingungen!$E$18,0)</f>
        <v>0</v>
      </c>
      <c r="N5" s="209">
        <f>IF(AND(MOD(N1,Randbedingungen!$E$11)=0,N1&lt;Randbedingungen!$E$5),$D$5*Randbedingungen!$E$18,0)</f>
        <v>0</v>
      </c>
      <c r="O5" s="209">
        <f>IF(AND(MOD(O1,Randbedingungen!$E$11)=0,O1&lt;Randbedingungen!$E$5),$D$5*Randbedingungen!$E$18,0)</f>
        <v>0</v>
      </c>
      <c r="P5" s="209">
        <f>IF(AND(MOD(P1,Randbedingungen!$E$11)=0,P1&lt;Randbedingungen!$E$5),$D$5*Randbedingungen!$E$18,0)</f>
        <v>0</v>
      </c>
      <c r="Q5" s="209">
        <f>IF(AND(MOD(Q1,Randbedingungen!$E$11)=0,Q1&lt;Randbedingungen!$E$5),$D$5*Randbedingungen!$E$18,0)</f>
        <v>0</v>
      </c>
      <c r="R5" s="209">
        <f>IF(AND(MOD(R1,Randbedingungen!$E$11)=0,R1&lt;Randbedingungen!$E$5),$D$5*Randbedingungen!$E$18,0)</f>
        <v>0</v>
      </c>
      <c r="S5" s="209">
        <f>IF(AND(MOD(S1,Randbedingungen!$E$11)=0,S1&lt;Randbedingungen!$E$5),$D$5*Randbedingungen!$E$18,0)</f>
        <v>0</v>
      </c>
      <c r="T5" s="209">
        <f>IF(AND(MOD(T1,Randbedingungen!$E$11)=0,T1&lt;Randbedingungen!$E$5),$D$5*Randbedingungen!$E$18,0)</f>
        <v>0</v>
      </c>
      <c r="U5" s="209">
        <f>IF(AND(MOD(U1,Randbedingungen!$E$11)=0,U1&lt;Randbedingungen!$E$5),$D$5*Randbedingungen!$E$18,0)</f>
        <v>0</v>
      </c>
      <c r="V5" s="209">
        <f>IF(AND(MOD(V1,Randbedingungen!$E$11)=0,V1&lt;Randbedingungen!$E$5),$D$5*Randbedingungen!$E$18,0)</f>
        <v>0</v>
      </c>
      <c r="W5" s="209">
        <f>IF(AND(MOD(W1,Randbedingungen!$E$11)=0,W1&lt;Randbedingungen!$E$5),$D$5*Randbedingungen!$E$18,0)</f>
        <v>0</v>
      </c>
      <c r="X5" s="209">
        <f>IF(AND(MOD(X1,Randbedingungen!$E$11)=0,X1&lt;Randbedingungen!$E$5),$D$5*Randbedingungen!$E$18,0)</f>
        <v>0</v>
      </c>
      <c r="Y5" s="209">
        <f>IF(AND(MOD(Y1,Randbedingungen!$E$11)=0,Y1&lt;Randbedingungen!$E$5),$D$5*Randbedingungen!$E$18,0)</f>
        <v>0</v>
      </c>
      <c r="Z5" s="209">
        <f>IF(AND(MOD(Z1,Randbedingungen!$E$11)=0,Z1&lt;Randbedingungen!$E$5),$D$5*Randbedingungen!$E$18,0)</f>
        <v>0</v>
      </c>
      <c r="AA5" s="209">
        <f>IF(AND(MOD(AA1,Randbedingungen!$E$11)=0,AA1&lt;Randbedingungen!$E$5),$D$5*Randbedingungen!$E$18,0)</f>
        <v>0</v>
      </c>
      <c r="AB5" s="209">
        <f>IF(AND(MOD(AB1,Randbedingungen!$E$11)=0,AB1&lt;Randbedingungen!$E$5),$D$5*Randbedingungen!$E$18,0)</f>
        <v>0</v>
      </c>
      <c r="AC5" s="209">
        <f>IF(AND(MOD(AC1,Randbedingungen!$E$11)=0,AC1&lt;Randbedingungen!$E$5),$D$5*Randbedingungen!$E$18,0)</f>
        <v>0</v>
      </c>
      <c r="AD5" s="209">
        <f>IF(AND(MOD(AD1,Randbedingungen!$E$11)=0,AD1&lt;Randbedingungen!$E$5),$D$5*Randbedingungen!$E$18,0)</f>
        <v>0</v>
      </c>
      <c r="AE5" s="209">
        <f>IF(AND(MOD(AE1,Randbedingungen!$E$11)=0,AE1&lt;Randbedingungen!$E$5),$D$5*Randbedingungen!$E$18,0)</f>
        <v>0</v>
      </c>
      <c r="AF5" s="209">
        <f>IF(AND(MOD(AF1,Randbedingungen!$E$11)=0,AF1&lt;Randbedingungen!$E$5),$D$5*Randbedingungen!$E$18,0)</f>
        <v>0</v>
      </c>
      <c r="AG5" s="209">
        <f>IF(AND(MOD(AG1,Randbedingungen!$E$11)=0,AG1&lt;Randbedingungen!$E$5),$D$5*Randbedingungen!$E$18,0)</f>
        <v>0</v>
      </c>
      <c r="AH5" s="209">
        <f>IF(AND(MOD(AH1,Randbedingungen!$E$11)=0,AH1&lt;Randbedingungen!$E$5),$D$5*Randbedingungen!$E$18,0)</f>
        <v>0</v>
      </c>
    </row>
    <row r="6" spans="1:41">
      <c r="B6" s="42" t="s">
        <v>156</v>
      </c>
      <c r="C6" s="68"/>
    </row>
    <row r="7" spans="1:41">
      <c r="B7" s="40" t="s">
        <v>155</v>
      </c>
      <c r="C7" s="67">
        <f>Zusammenfassung!G5</f>
        <v>371250</v>
      </c>
      <c r="D7" s="14">
        <f>C7*-1</f>
        <v>-371250</v>
      </c>
      <c r="E7" s="209">
        <f>IF(AND(MOD(E1,Randbedingungen!$E$12)=0,E1&lt;Randbedingungen!$E$5),$D$7*Randbedingungen!$E$19,0)*(1+Randbedingungen!$E$32)^E1</f>
        <v>0</v>
      </c>
      <c r="F7" s="209">
        <f>IF(AND(MOD(F1,Randbedingungen!$E$12)=0,F1&lt;Randbedingungen!$E$5),$D$7*Randbedingungen!$E$19,0)*(1+Randbedingungen!$E$32)^F1</f>
        <v>0</v>
      </c>
      <c r="G7" s="209">
        <f>IF(AND(MOD(G1,Randbedingungen!$E$12)=0,G1&lt;Randbedingungen!$E$5),$D$7*Randbedingungen!$E$19,0)*(1+Randbedingungen!$E$32)^G1</f>
        <v>0</v>
      </c>
      <c r="H7" s="209">
        <f>IF(AND(MOD(H1,Randbedingungen!$E$12)=0,H1&lt;Randbedingungen!$E$5),$D$7*Randbedingungen!$E$19,0)*(1+Randbedingungen!$E$32)^H1</f>
        <v>0</v>
      </c>
      <c r="I7" s="209">
        <f>IF(AND(MOD(I1,Randbedingungen!$E$12)=0,I1&lt;Randbedingungen!$E$5),$D$7*Randbedingungen!$E$19,0)*(1+Randbedingungen!$E$32)^I1</f>
        <v>0</v>
      </c>
      <c r="J7" s="209">
        <f>IF(AND(MOD(J1,Randbedingungen!$E$12)=0,J1&lt;Randbedingungen!$E$5),$D$7*Randbedingungen!$E$19,0)*(1+Randbedingungen!$E$32)^J1</f>
        <v>0</v>
      </c>
      <c r="K7" s="209">
        <f>IF(AND(MOD(K1,Randbedingungen!$E$12)=0,K1&lt;Randbedingungen!$E$5),$D$7*Randbedingungen!$E$19,0)*(1+Randbedingungen!$E$32)^K1</f>
        <v>0</v>
      </c>
      <c r="L7" s="209">
        <f>IF(AND(MOD(L1,Randbedingungen!$E$12)=0,L1&lt;Randbedingungen!$E$5),$D$7*Randbedingungen!$E$19,0)*(1+Randbedingungen!$E$32)^L1</f>
        <v>0</v>
      </c>
      <c r="M7" s="209">
        <f>IF(AND(MOD(M1,Randbedingungen!$E$12)=0,M1&lt;Randbedingungen!$E$5),$D$7*Randbedingungen!$E$19,0)*(1+Randbedingungen!$E$32)^M1</f>
        <v>0</v>
      </c>
      <c r="N7" s="209">
        <f>IF(AND(MOD(N1,Randbedingungen!$E$12)=0,N1&lt;Randbedingungen!$E$5),$D$7*Randbedingungen!$E$19,0)*(1+Randbedingungen!$E$32)^N1</f>
        <v>0</v>
      </c>
      <c r="O7" s="209">
        <f>IF(AND(MOD(O1,Randbedingungen!$E$12)=0,O1&lt;Randbedingungen!$E$5),$D$7*Randbedingungen!$E$19,0)*(1+Randbedingungen!$E$32)^O1</f>
        <v>0</v>
      </c>
      <c r="P7" s="209">
        <f>IF(AND(MOD(P1,Randbedingungen!$E$12)=0,P1&lt;Randbedingungen!$E$5),$D$7*Randbedingungen!$E$19,0)*(1+Randbedingungen!$E$32)^P1</f>
        <v>0</v>
      </c>
      <c r="Q7" s="209">
        <f>IF(AND(MOD(Q1,Randbedingungen!$E$12)=0,Q1&lt;Randbedingungen!$E$5),$D$7*Randbedingungen!$E$19,0)*(1+Randbedingungen!$E$32)^Q1</f>
        <v>0</v>
      </c>
      <c r="R7" s="209">
        <f>IF(AND(MOD(R1,Randbedingungen!$E$12)=0,R1&lt;Randbedingungen!$E$5),$D$7*Randbedingungen!$E$19,0)*(1+Randbedingungen!$E$32)^R1</f>
        <v>0</v>
      </c>
      <c r="S7" s="209">
        <f>IF(AND(MOD(S1,Randbedingungen!$E$12)=0,S1&lt;Randbedingungen!$E$5),$D$7*Randbedingungen!$E$19,0)*(1+Randbedingungen!$E$32)^S1</f>
        <v>-207032.75715262647</v>
      </c>
      <c r="T7" s="209">
        <f>IF(AND(MOD(T1,Randbedingungen!$E$12)=0,T1&lt;Randbedingungen!$E$5),$D$7*Randbedingungen!$E$19,0)*(1+Randbedingungen!$E$32)^T1</f>
        <v>0</v>
      </c>
      <c r="U7" s="209">
        <f>IF(AND(MOD(U1,Randbedingungen!$E$12)=0,U1&lt;Randbedingungen!$E$5),$D$7*Randbedingungen!$E$19,0)*(1+Randbedingungen!$E$32)^U1</f>
        <v>0</v>
      </c>
      <c r="V7" s="209">
        <f>IF(AND(MOD(V1,Randbedingungen!$E$12)=0,V1&lt;Randbedingungen!$E$5),$D$7*Randbedingungen!$E$19,0)*(1+Randbedingungen!$E$32)^V1</f>
        <v>0</v>
      </c>
      <c r="W7" s="209">
        <f>IF(AND(MOD(W1,Randbedingungen!$E$12)=0,W1&lt;Randbedingungen!$E$5),$D$7*Randbedingungen!$E$19,0)*(1+Randbedingungen!$E$32)^W1</f>
        <v>0</v>
      </c>
      <c r="X7" s="209">
        <f>IF(AND(MOD(X1,Randbedingungen!$E$12)=0,X1&lt;Randbedingungen!$E$5),$D$7*Randbedingungen!$E$19,0)*(1+Randbedingungen!$E$32)^X1</f>
        <v>0</v>
      </c>
      <c r="Y7" s="209">
        <f>IF(AND(MOD(Y1,Randbedingungen!$E$12)=0,Y1&lt;Randbedingungen!$E$5),$D$7*Randbedingungen!$E$19,0)*(1+Randbedingungen!$E$32)^Y1</f>
        <v>0</v>
      </c>
      <c r="Z7" s="209">
        <f>IF(AND(MOD(Z1,Randbedingungen!$E$12)=0,Z1&lt;Randbedingungen!$E$5),$D$7*Randbedingungen!$E$19,0)*(1+Randbedingungen!$E$32)^Z1</f>
        <v>0</v>
      </c>
      <c r="AA7" s="209">
        <f>IF(AND(MOD(AA1,Randbedingungen!$E$12)=0,AA1&lt;Randbedingungen!$E$5),$D$7*Randbedingungen!$E$19,0)*(1+Randbedingungen!$E$32)^AA1</f>
        <v>0</v>
      </c>
      <c r="AB7" s="209">
        <f>IF(AND(MOD(AB1,Randbedingungen!$E$12)=0,AB1&lt;Randbedingungen!$E$5),$D$7*Randbedingungen!$E$19,0)*(1+Randbedingungen!$E$32)^AB1</f>
        <v>0</v>
      </c>
      <c r="AC7" s="209">
        <f>IF(AND(MOD(AC1,Randbedingungen!$E$12)=0,AC1&lt;Randbedingungen!$E$5),$D$7*Randbedingungen!$E$19,0)*(1+Randbedingungen!$E$32)^AC1</f>
        <v>0</v>
      </c>
      <c r="AD7" s="209">
        <f>IF(AND(MOD(AD1,Randbedingungen!$E$12)=0,AD1&lt;Randbedingungen!$E$5),$D$7*Randbedingungen!$E$19,0)*(1+Randbedingungen!$E$32)^AD1</f>
        <v>0</v>
      </c>
      <c r="AE7" s="209">
        <f>IF(AND(MOD(AE1,Randbedingungen!$E$12)=0,AE1&lt;Randbedingungen!$E$5),$D$7*Randbedingungen!$E$19,0)*(1+Randbedingungen!$E$32)^AE1</f>
        <v>0</v>
      </c>
      <c r="AF7" s="209">
        <f>IF(AND(MOD(AF1,Randbedingungen!$E$12)=0,AF1&lt;Randbedingungen!$E$5),$D$7*Randbedingungen!$E$19,0)*(1+Randbedingungen!$E$32)^AF1</f>
        <v>0</v>
      </c>
      <c r="AG7" s="209">
        <f>IF(AND(MOD(AG1,Randbedingungen!$E$12)=0,AG1&lt;Randbedingungen!$E$5),$D$7*Randbedingungen!$E$19,0)*(1+Randbedingungen!$E$32)^AG1</f>
        <v>0</v>
      </c>
      <c r="AH7" s="209">
        <f>IF(AND(MOD(AH1,Randbedingungen!$E$12)=0,AH1&lt;Randbedingungen!$E$5),$D$7*Randbedingungen!$E$19,0)*(1+Randbedingungen!$E$32)^AH1</f>
        <v>0</v>
      </c>
    </row>
    <row r="8" spans="1:41">
      <c r="A8" s="142"/>
      <c r="B8" s="148" t="s">
        <v>173</v>
      </c>
      <c r="C8" s="67"/>
      <c r="D8" s="1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142"/>
      <c r="AJ8" s="142"/>
      <c r="AK8" s="142"/>
      <c r="AL8" s="142"/>
      <c r="AM8" s="142"/>
      <c r="AN8" s="142"/>
      <c r="AO8" s="142"/>
    </row>
    <row r="9" spans="1:41">
      <c r="B9" s="40" t="s">
        <v>155</v>
      </c>
      <c r="C9" s="67">
        <f>Zusammenfassung!G6</f>
        <v>74250</v>
      </c>
      <c r="D9" s="14">
        <f>C9*-1</f>
        <v>-74250</v>
      </c>
      <c r="E9" s="209">
        <f>IF(AND(MOD(E1,Randbedingungen!$E$13)=0,E1&lt;Randbedingungen!$E$5),$D$9*Randbedingungen!$E$20,0)*(1+Randbedingungen!$E$32)^E1</f>
        <v>0</v>
      </c>
      <c r="F9" s="209">
        <f>IF(AND(MOD(F1,Randbedingungen!$E$13)=0,F1&lt;Randbedingungen!$E$5),$D$9*Randbedingungen!$E$20,0)*(1+Randbedingungen!$E$32)^F1</f>
        <v>0</v>
      </c>
      <c r="G9" s="209">
        <f>IF(AND(MOD(G1,Randbedingungen!$E$13)=0,G1&lt;Randbedingungen!$E$5),$D$9*Randbedingungen!$E$20,0)*(1+Randbedingungen!$E$32)^G1</f>
        <v>0</v>
      </c>
      <c r="H9" s="209">
        <f>IF(AND(MOD(H1,Randbedingungen!$E$13)=0,H1&lt;Randbedingungen!$E$5),$D$9*Randbedingungen!$E$20,0)*(1+Randbedingungen!$E$32)^H1</f>
        <v>0</v>
      </c>
      <c r="I9" s="209">
        <f>IF(AND(MOD(I1,Randbedingungen!$E$13)=0,I1&lt;Randbedingungen!$E$5),$D$9*Randbedingungen!$E$20,0)*(1+Randbedingungen!$E$32)^I1</f>
        <v>-82946.995958102343</v>
      </c>
      <c r="J9" s="209">
        <f>IF(AND(MOD(J1,Randbedingungen!$E$13)=0,J1&lt;Randbedingungen!$E$5),$D$9*Randbedingungen!$E$20,0)*(1+Randbedingungen!$E$32)^J1</f>
        <v>0</v>
      </c>
      <c r="K9" s="209">
        <f>IF(AND(MOD(K1,Randbedingungen!$E$13)=0,K1&lt;Randbedingungen!$E$5),$D$9*Randbedingungen!$E$20,0)*(1+Randbedingungen!$E$32)^K1</f>
        <v>0</v>
      </c>
      <c r="L9" s="209">
        <f>IF(AND(MOD(L1,Randbedingungen!$E$13)=0,L1&lt;Randbedingungen!$E$5),$D$9*Randbedingungen!$E$20,0)*(1+Randbedingungen!$E$32)^L1</f>
        <v>0</v>
      </c>
      <c r="M9" s="209">
        <f>IF(AND(MOD(M1,Randbedingungen!$E$13)=0,M1&lt;Randbedingungen!$E$5),$D$9*Randbedingungen!$E$20,0)*(1+Randbedingungen!$E$32)^M1</f>
        <v>0</v>
      </c>
      <c r="N9" s="209">
        <f>IF(AND(MOD(N1,Randbedingungen!$E$13)=0,N1&lt;Randbedingungen!$E$5),$D$9*Randbedingungen!$E$20,0)*(1+Randbedingungen!$E$32)^N1</f>
        <v>-92662.681999642358</v>
      </c>
      <c r="O9" s="209">
        <f>IF(AND(MOD(O1,Randbedingungen!$E$13)=0,O1&lt;Randbedingungen!$E$5),$D$9*Randbedingungen!$E$20,0)*(1+Randbedingungen!$E$32)^O1</f>
        <v>0</v>
      </c>
      <c r="P9" s="209">
        <f>IF(AND(MOD(P1,Randbedingungen!$E$13)=0,P1&lt;Randbedingungen!$E$5),$D$9*Randbedingungen!$E$20,0)*(1+Randbedingungen!$E$32)^P1</f>
        <v>0</v>
      </c>
      <c r="Q9" s="209">
        <f>IF(AND(MOD(Q1,Randbedingungen!$E$13)=0,Q1&lt;Randbedingungen!$E$5),$D$9*Randbedingungen!$E$20,0)*(1+Randbedingungen!$E$32)^Q1</f>
        <v>0</v>
      </c>
      <c r="R9" s="209">
        <f>IF(AND(MOD(R1,Randbedingungen!$E$13)=0,R1&lt;Randbedingungen!$E$5),$D$9*Randbedingungen!$E$20,0)*(1+Randbedingungen!$E$32)^R1</f>
        <v>0</v>
      </c>
      <c r="S9" s="209">
        <f>IF(AND(MOD(S1,Randbedingungen!$E$13)=0,S1&lt;Randbedingungen!$E$5),$D$9*Randbedingungen!$E$20,0)*(1+Randbedingungen!$E$32)^S1</f>
        <v>-103516.37857631323</v>
      </c>
      <c r="T9" s="209">
        <f>IF(AND(MOD(T1,Randbedingungen!$E$13)=0,T1&lt;Randbedingungen!$E$5),$D$9*Randbedingungen!$E$20,0)*(1+Randbedingungen!$E$32)^T1</f>
        <v>0</v>
      </c>
      <c r="U9" s="209">
        <f>IF(AND(MOD(U1,Randbedingungen!$E$13)=0,U1&lt;Randbedingungen!$E$5),$D$9*Randbedingungen!$E$20,0)*(1+Randbedingungen!$E$32)^U1</f>
        <v>0</v>
      </c>
      <c r="V9" s="209">
        <f>IF(AND(MOD(V1,Randbedingungen!$E$13)=0,V1&lt;Randbedingungen!$E$5),$D$9*Randbedingungen!$E$20,0)*(1+Randbedingungen!$E$32)^V1</f>
        <v>0</v>
      </c>
      <c r="W9" s="209">
        <f>IF(AND(MOD(W1,Randbedingungen!$E$13)=0,W1&lt;Randbedingungen!$E$5),$D$9*Randbedingungen!$E$20,0)*(1+Randbedingungen!$E$32)^W1</f>
        <v>0</v>
      </c>
      <c r="X9" s="209">
        <f>IF(AND(MOD(X1,Randbedingungen!$E$13)=0,X1&lt;Randbedingungen!$E$5),$D$9*Randbedingungen!$E$20,0)*(1+Randbedingungen!$E$32)^X1</f>
        <v>-115641.38229450294</v>
      </c>
      <c r="Y9" s="209">
        <f>IF(AND(MOD(Y1,Randbedingungen!$E$13)=0,Y1&lt;Randbedingungen!$E$5),$D$9*Randbedingungen!$E$20,0)*(1+Randbedingungen!$E$32)^Y1</f>
        <v>0</v>
      </c>
      <c r="Z9" s="209">
        <f>IF(AND(MOD(Z1,Randbedingungen!$E$13)=0,Z1&lt;Randbedingungen!$E$5),$D$9*Randbedingungen!$E$20,0)*(1+Randbedingungen!$E$32)^Z1</f>
        <v>0</v>
      </c>
      <c r="AA9" s="209">
        <f>IF(AND(MOD(AA1,Randbedingungen!$E$13)=0,AA1&lt;Randbedingungen!$E$5),$D$9*Randbedingungen!$E$20,0)*(1+Randbedingungen!$E$32)^AA1</f>
        <v>0</v>
      </c>
      <c r="AB9" s="209">
        <f>IF(AND(MOD(AB1,Randbedingungen!$E$13)=0,AB1&lt;Randbedingungen!$E$5),$D$9*Randbedingungen!$E$20,0)*(1+Randbedingungen!$E$32)^AB1</f>
        <v>0</v>
      </c>
      <c r="AC9" s="209">
        <f>IF(AND(MOD(AC1,Randbedingungen!$E$13)=0,AC1&lt;Randbedingungen!$E$5),$D$9*Randbedingungen!$E$20,0)*(1+Randbedingungen!$E$32)^AC1</f>
        <v>-129186.60295988554</v>
      </c>
      <c r="AD9" s="209">
        <f>IF(AND(MOD(AD1,Randbedingungen!$E$13)=0,AD1&lt;Randbedingungen!$E$5),$D$9*Randbedingungen!$E$20,0)*(1+Randbedingungen!$E$32)^AD1</f>
        <v>0</v>
      </c>
      <c r="AE9" s="209">
        <f>IF(AND(MOD(AE1,Randbedingungen!$E$13)=0,AE1&lt;Randbedingungen!$E$5),$D$9*Randbedingungen!$E$20,0)*(1+Randbedingungen!$E$32)^AE1</f>
        <v>0</v>
      </c>
      <c r="AF9" s="209">
        <f>IF(AND(MOD(AF1,Randbedingungen!$E$13)=0,AF1&lt;Randbedingungen!$E$5),$D$9*Randbedingungen!$E$20,0)*(1+Randbedingungen!$E$32)^AF1</f>
        <v>0</v>
      </c>
      <c r="AG9" s="209">
        <f>IF(AND(MOD(AG1,Randbedingungen!$E$13)=0,AG1&lt;Randbedingungen!$E$5),$D$9*Randbedingungen!$E$20,0)*(1+Randbedingungen!$E$32)^AG1</f>
        <v>0</v>
      </c>
      <c r="AH9" s="209">
        <f>IF(AND(MOD(AH1,Randbedingungen!$E$13)=0,AH1&lt;Randbedingungen!$E$5),$D$9*Randbedingungen!$E$20,0)*(1+Randbedingungen!$E$32)^AH1</f>
        <v>0</v>
      </c>
    </row>
    <row r="10" spans="1:41" ht="15.75" thickBot="1">
      <c r="B10" s="44" t="s">
        <v>131</v>
      </c>
      <c r="C10" s="89"/>
      <c r="D10" s="90">
        <f t="shared" ref="D10" si="0">SUM(D5:D9)</f>
        <v>-445500</v>
      </c>
      <c r="E10" s="90">
        <f>SUM(E5:E9)*(-1)</f>
        <v>0</v>
      </c>
      <c r="F10" s="90">
        <f t="shared" ref="F10:AH10" si="1">SUM(F5:F9)*(-1)</f>
        <v>0</v>
      </c>
      <c r="G10" s="90">
        <f t="shared" si="1"/>
        <v>0</v>
      </c>
      <c r="H10" s="90">
        <f t="shared" si="1"/>
        <v>0</v>
      </c>
      <c r="I10" s="90">
        <f t="shared" si="1"/>
        <v>82946.995958102343</v>
      </c>
      <c r="J10" s="90">
        <f t="shared" si="1"/>
        <v>0</v>
      </c>
      <c r="K10" s="90">
        <f t="shared" si="1"/>
        <v>0</v>
      </c>
      <c r="L10" s="90">
        <f t="shared" si="1"/>
        <v>0</v>
      </c>
      <c r="M10" s="90">
        <f t="shared" si="1"/>
        <v>0</v>
      </c>
      <c r="N10" s="90">
        <f t="shared" si="1"/>
        <v>92662.681999642358</v>
      </c>
      <c r="O10" s="90">
        <f t="shared" si="1"/>
        <v>0</v>
      </c>
      <c r="P10" s="90">
        <f t="shared" si="1"/>
        <v>0</v>
      </c>
      <c r="Q10" s="90">
        <f t="shared" si="1"/>
        <v>0</v>
      </c>
      <c r="R10" s="90">
        <f t="shared" si="1"/>
        <v>0</v>
      </c>
      <c r="S10" s="90">
        <f t="shared" si="1"/>
        <v>310549.13572893967</v>
      </c>
      <c r="T10" s="90">
        <f t="shared" si="1"/>
        <v>0</v>
      </c>
      <c r="U10" s="90">
        <f t="shared" si="1"/>
        <v>0</v>
      </c>
      <c r="V10" s="90">
        <f t="shared" si="1"/>
        <v>0</v>
      </c>
      <c r="W10" s="90">
        <f t="shared" si="1"/>
        <v>0</v>
      </c>
      <c r="X10" s="90">
        <f t="shared" si="1"/>
        <v>115641.38229450294</v>
      </c>
      <c r="Y10" s="90">
        <f t="shared" si="1"/>
        <v>0</v>
      </c>
      <c r="Z10" s="90">
        <f t="shared" si="1"/>
        <v>0</v>
      </c>
      <c r="AA10" s="90">
        <f t="shared" si="1"/>
        <v>0</v>
      </c>
      <c r="AB10" s="90">
        <f t="shared" si="1"/>
        <v>0</v>
      </c>
      <c r="AC10" s="90">
        <f t="shared" si="1"/>
        <v>129186.60295988554</v>
      </c>
      <c r="AD10" s="90">
        <f t="shared" si="1"/>
        <v>0</v>
      </c>
      <c r="AE10" s="90">
        <f t="shared" si="1"/>
        <v>0</v>
      </c>
      <c r="AF10" s="90">
        <f t="shared" si="1"/>
        <v>0</v>
      </c>
      <c r="AG10" s="90">
        <v>0</v>
      </c>
      <c r="AH10" s="91">
        <f t="shared" si="1"/>
        <v>0</v>
      </c>
    </row>
    <row r="11" spans="1:41">
      <c r="A11" s="149"/>
      <c r="B11" s="207"/>
      <c r="C11" s="67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149"/>
      <c r="AJ11" s="149"/>
      <c r="AK11" s="149"/>
      <c r="AL11" s="149"/>
      <c r="AM11" s="149"/>
      <c r="AN11" s="149"/>
      <c r="AO11" s="149"/>
    </row>
    <row r="12" spans="1:41" ht="15.75" thickBot="1"/>
    <row r="13" spans="1:41">
      <c r="B13" s="46" t="s">
        <v>1</v>
      </c>
      <c r="C13" s="70" t="s">
        <v>157</v>
      </c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8"/>
    </row>
    <row r="14" spans="1:41">
      <c r="B14" s="47" t="s">
        <v>11</v>
      </c>
      <c r="C14" s="64">
        <f>IF(Randbedingungen!$E$30="Spezifisch",Randbedingungen!E35,Randbedingungen!$E$32)</f>
        <v>1.2E-2</v>
      </c>
      <c r="D14" s="105">
        <f>Zusammenfassung!G9</f>
        <v>6480</v>
      </c>
      <c r="E14" s="24">
        <f>Zusammenfassung!E9*(1+C14)</f>
        <v>4857.6000000000004</v>
      </c>
      <c r="F14" s="27">
        <f>E14*(1+$C$14)</f>
        <v>4915.8912</v>
      </c>
      <c r="G14" s="27">
        <f t="shared" ref="G14:AH14" si="2">F14*(1+$C$14)</f>
        <v>4974.8818944000004</v>
      </c>
      <c r="H14" s="27">
        <f t="shared" si="2"/>
        <v>5034.5804771328003</v>
      </c>
      <c r="I14" s="27">
        <f t="shared" si="2"/>
        <v>5094.9954428583942</v>
      </c>
      <c r="J14" s="27">
        <f t="shared" si="2"/>
        <v>5156.1353881726945</v>
      </c>
      <c r="K14" s="27">
        <f t="shared" si="2"/>
        <v>5218.0090128307666</v>
      </c>
      <c r="L14" s="27">
        <f t="shared" si="2"/>
        <v>5280.625120984736</v>
      </c>
      <c r="M14" s="27">
        <f t="shared" si="2"/>
        <v>5343.9926224365527</v>
      </c>
      <c r="N14" s="27">
        <f t="shared" si="2"/>
        <v>5408.1205339057915</v>
      </c>
      <c r="O14" s="27">
        <f t="shared" si="2"/>
        <v>5473.0179803126612</v>
      </c>
      <c r="P14" s="27">
        <f t="shared" si="2"/>
        <v>5538.6941960764134</v>
      </c>
      <c r="Q14" s="27">
        <f t="shared" si="2"/>
        <v>5605.1585264293308</v>
      </c>
      <c r="R14" s="27">
        <f t="shared" si="2"/>
        <v>5672.4204287464827</v>
      </c>
      <c r="S14" s="27">
        <f t="shared" si="2"/>
        <v>5740.4894738914409</v>
      </c>
      <c r="T14" s="27">
        <f t="shared" si="2"/>
        <v>5809.3753475781386</v>
      </c>
      <c r="U14" s="27">
        <f t="shared" si="2"/>
        <v>5879.0878517490764</v>
      </c>
      <c r="V14" s="27">
        <f t="shared" si="2"/>
        <v>5949.6369059700655</v>
      </c>
      <c r="W14" s="27">
        <f t="shared" si="2"/>
        <v>6021.0325488417066</v>
      </c>
      <c r="X14" s="27">
        <f t="shared" si="2"/>
        <v>6093.2849394278073</v>
      </c>
      <c r="Y14" s="27">
        <f t="shared" si="2"/>
        <v>6166.404358700941</v>
      </c>
      <c r="Z14" s="27">
        <f t="shared" si="2"/>
        <v>6240.4012110053527</v>
      </c>
      <c r="AA14" s="27">
        <f t="shared" si="2"/>
        <v>6315.2860255374171</v>
      </c>
      <c r="AB14" s="27">
        <f t="shared" si="2"/>
        <v>6391.0694578438661</v>
      </c>
      <c r="AC14" s="27">
        <f t="shared" si="2"/>
        <v>6467.7622913379928</v>
      </c>
      <c r="AD14" s="27">
        <f t="shared" si="2"/>
        <v>6545.3754388340485</v>
      </c>
      <c r="AE14" s="27">
        <f t="shared" si="2"/>
        <v>6623.9199441000574</v>
      </c>
      <c r="AF14" s="27">
        <f t="shared" si="2"/>
        <v>6703.4069834292577</v>
      </c>
      <c r="AG14" s="27">
        <f t="shared" si="2"/>
        <v>6783.8478672304091</v>
      </c>
      <c r="AH14" s="48">
        <f t="shared" si="2"/>
        <v>6865.2540416371739</v>
      </c>
    </row>
    <row r="15" spans="1:41">
      <c r="B15" s="47" t="s">
        <v>15</v>
      </c>
      <c r="C15" s="64">
        <f>IF(Randbedingungen!$E$30="Spezifisch",Randbedingungen!E36,Randbedingungen!$E$32)</f>
        <v>1.2E-2</v>
      </c>
      <c r="D15" s="105">
        <f>Zusammenfassung!G10</f>
        <v>1620</v>
      </c>
      <c r="E15" s="24">
        <f>Zusammenfassung!E10*(1+C15)</f>
        <v>1214.4000000000001</v>
      </c>
      <c r="F15" s="27">
        <f>E15*(1+$C$15)</f>
        <v>1228.9728</v>
      </c>
      <c r="G15" s="27">
        <f t="shared" ref="G15:AH15" si="3">F15*(1+$C$15)</f>
        <v>1243.7204736000001</v>
      </c>
      <c r="H15" s="27">
        <f t="shared" si="3"/>
        <v>1258.6451192832001</v>
      </c>
      <c r="I15" s="27">
        <f t="shared" si="3"/>
        <v>1273.7488607145985</v>
      </c>
      <c r="J15" s="27">
        <f t="shared" si="3"/>
        <v>1289.0338470431736</v>
      </c>
      <c r="K15" s="27">
        <f t="shared" si="3"/>
        <v>1304.5022532076916</v>
      </c>
      <c r="L15" s="27">
        <f t="shared" si="3"/>
        <v>1320.156280246184</v>
      </c>
      <c r="M15" s="27">
        <f t="shared" si="3"/>
        <v>1335.9981556091382</v>
      </c>
      <c r="N15" s="27">
        <f t="shared" si="3"/>
        <v>1352.0301334764479</v>
      </c>
      <c r="O15" s="27">
        <f t="shared" si="3"/>
        <v>1368.2544950781653</v>
      </c>
      <c r="P15" s="27">
        <f t="shared" si="3"/>
        <v>1384.6735490191033</v>
      </c>
      <c r="Q15" s="27">
        <f t="shared" si="3"/>
        <v>1401.2896316073327</v>
      </c>
      <c r="R15" s="27">
        <f t="shared" si="3"/>
        <v>1418.1051071866207</v>
      </c>
      <c r="S15" s="27">
        <f t="shared" si="3"/>
        <v>1435.1223684728602</v>
      </c>
      <c r="T15" s="27">
        <f t="shared" si="3"/>
        <v>1452.3438368945347</v>
      </c>
      <c r="U15" s="27">
        <f t="shared" si="3"/>
        <v>1469.7719629372691</v>
      </c>
      <c r="V15" s="27">
        <f t="shared" si="3"/>
        <v>1487.4092264925164</v>
      </c>
      <c r="W15" s="27">
        <f t="shared" si="3"/>
        <v>1505.2581372104266</v>
      </c>
      <c r="X15" s="27">
        <f t="shared" si="3"/>
        <v>1523.3212348569518</v>
      </c>
      <c r="Y15" s="27">
        <f t="shared" si="3"/>
        <v>1541.6010896752352</v>
      </c>
      <c r="Z15" s="27">
        <f t="shared" si="3"/>
        <v>1560.1003027513382</v>
      </c>
      <c r="AA15" s="27">
        <f t="shared" si="3"/>
        <v>1578.8215063843543</v>
      </c>
      <c r="AB15" s="27">
        <f t="shared" si="3"/>
        <v>1597.7673644609665</v>
      </c>
      <c r="AC15" s="27">
        <f t="shared" si="3"/>
        <v>1616.9405728344982</v>
      </c>
      <c r="AD15" s="27">
        <f t="shared" si="3"/>
        <v>1636.3438597085121</v>
      </c>
      <c r="AE15" s="27">
        <f t="shared" si="3"/>
        <v>1655.9799860250143</v>
      </c>
      <c r="AF15" s="27">
        <f t="shared" si="3"/>
        <v>1675.8517458573144</v>
      </c>
      <c r="AG15" s="27">
        <f t="shared" si="3"/>
        <v>1695.9619668076023</v>
      </c>
      <c r="AH15" s="48">
        <f t="shared" si="3"/>
        <v>1716.3135104092935</v>
      </c>
    </row>
    <row r="16" spans="1:41">
      <c r="B16" s="47" t="s">
        <v>20</v>
      </c>
      <c r="C16" s="64">
        <f>IF(Randbedingungen!$E$30="Spezifisch",Randbedingungen!E37,Randbedingungen!$E$32)</f>
        <v>1.2E-2</v>
      </c>
      <c r="D16" s="105">
        <f>Zusammenfassung!G11</f>
        <v>28822.499999999996</v>
      </c>
      <c r="E16" s="24">
        <f>Zusammenfassung!E11*(1+C16)</f>
        <v>21606.199999999997</v>
      </c>
      <c r="F16" s="27">
        <f>E16*(1+$C$16)</f>
        <v>21865.474399999996</v>
      </c>
      <c r="G16" s="27">
        <f t="shared" ref="G16:AH16" si="4">F16*(1+$C$16)</f>
        <v>22127.860092799994</v>
      </c>
      <c r="H16" s="27">
        <f t="shared" si="4"/>
        <v>22393.394413913593</v>
      </c>
      <c r="I16" s="27">
        <f t="shared" si="4"/>
        <v>22662.115146880555</v>
      </c>
      <c r="J16" s="27">
        <f t="shared" si="4"/>
        <v>22934.06052864312</v>
      </c>
      <c r="K16" s="27">
        <f t="shared" si="4"/>
        <v>23209.269254986837</v>
      </c>
      <c r="L16" s="27">
        <f t="shared" si="4"/>
        <v>23487.780486046679</v>
      </c>
      <c r="M16" s="27">
        <f t="shared" si="4"/>
        <v>23769.63385187924</v>
      </c>
      <c r="N16" s="27">
        <f t="shared" si="4"/>
        <v>24054.869458101792</v>
      </c>
      <c r="O16" s="27">
        <f t="shared" si="4"/>
        <v>24343.527891599013</v>
      </c>
      <c r="P16" s="27">
        <f t="shared" si="4"/>
        <v>24635.650226298203</v>
      </c>
      <c r="Q16" s="27">
        <f t="shared" si="4"/>
        <v>24931.278029013782</v>
      </c>
      <c r="R16" s="27">
        <f t="shared" si="4"/>
        <v>25230.453365361947</v>
      </c>
      <c r="S16" s="27">
        <f t="shared" si="4"/>
        <v>25533.218805746292</v>
      </c>
      <c r="T16" s="27">
        <f t="shared" si="4"/>
        <v>25839.617431415249</v>
      </c>
      <c r="U16" s="27">
        <f t="shared" si="4"/>
        <v>26149.692840592234</v>
      </c>
      <c r="V16" s="27">
        <f t="shared" si="4"/>
        <v>26463.489154679341</v>
      </c>
      <c r="W16" s="27">
        <f t="shared" si="4"/>
        <v>26781.051024535493</v>
      </c>
      <c r="X16" s="27">
        <f t="shared" si="4"/>
        <v>27102.423636829917</v>
      </c>
      <c r="Y16" s="27">
        <f t="shared" si="4"/>
        <v>27427.652720471877</v>
      </c>
      <c r="Z16" s="27">
        <f t="shared" si="4"/>
        <v>27756.784553117541</v>
      </c>
      <c r="AA16" s="27">
        <f t="shared" si="4"/>
        <v>28089.865967754951</v>
      </c>
      <c r="AB16" s="27">
        <f t="shared" si="4"/>
        <v>28426.944359368012</v>
      </c>
      <c r="AC16" s="27">
        <f t="shared" si="4"/>
        <v>28768.06769168043</v>
      </c>
      <c r="AD16" s="27">
        <f t="shared" si="4"/>
        <v>29113.284503980594</v>
      </c>
      <c r="AE16" s="27">
        <f t="shared" si="4"/>
        <v>29462.643918028363</v>
      </c>
      <c r="AF16" s="27">
        <f t="shared" si="4"/>
        <v>29816.195645044703</v>
      </c>
      <c r="AG16" s="27">
        <f t="shared" si="4"/>
        <v>30173.989992785238</v>
      </c>
      <c r="AH16" s="48">
        <f t="shared" si="4"/>
        <v>30536.077872698661</v>
      </c>
    </row>
    <row r="17" spans="2:34" ht="15.75" thickBot="1">
      <c r="B17" s="49" t="s">
        <v>23</v>
      </c>
      <c r="C17" s="65">
        <f>IF(Randbedingungen!$E$30="Spezifisch",Randbedingungen!E38,Randbedingungen!$E$32)</f>
        <v>5.0000000000000001E-3</v>
      </c>
      <c r="D17" s="106">
        <f>Zusammenfassung!G12</f>
        <v>49680</v>
      </c>
      <c r="E17" s="28">
        <f>Zusammenfassung!E12*(1+C17)</f>
        <v>36983.999999999993</v>
      </c>
      <c r="F17" s="28">
        <f>E17*(1+$C$17)</f>
        <v>37168.919999999991</v>
      </c>
      <c r="G17" s="28">
        <f t="shared" ref="G17:AH17" si="5">F17*(1+$C$17)</f>
        <v>37354.764599999988</v>
      </c>
      <c r="H17" s="28">
        <f t="shared" si="5"/>
        <v>37541.538422999984</v>
      </c>
      <c r="I17" s="28">
        <f t="shared" si="5"/>
        <v>37729.246115114976</v>
      </c>
      <c r="J17" s="28">
        <f t="shared" si="5"/>
        <v>37917.892345690547</v>
      </c>
      <c r="K17" s="28">
        <f t="shared" si="5"/>
        <v>38107.481807418997</v>
      </c>
      <c r="L17" s="28">
        <f t="shared" si="5"/>
        <v>38298.019216456087</v>
      </c>
      <c r="M17" s="28">
        <f t="shared" si="5"/>
        <v>38489.509312538365</v>
      </c>
      <c r="N17" s="28">
        <f t="shared" si="5"/>
        <v>38681.956859101054</v>
      </c>
      <c r="O17" s="28">
        <f t="shared" si="5"/>
        <v>38875.366643396555</v>
      </c>
      <c r="P17" s="28">
        <f t="shared" si="5"/>
        <v>39069.743476613534</v>
      </c>
      <c r="Q17" s="28">
        <f t="shared" si="5"/>
        <v>39265.092193996599</v>
      </c>
      <c r="R17" s="28">
        <f t="shared" si="5"/>
        <v>39461.417654966579</v>
      </c>
      <c r="S17" s="28">
        <f t="shared" si="5"/>
        <v>39658.724743241408</v>
      </c>
      <c r="T17" s="28">
        <f t="shared" si="5"/>
        <v>39857.018366957607</v>
      </c>
      <c r="U17" s="28">
        <f t="shared" si="5"/>
        <v>40056.30345879239</v>
      </c>
      <c r="V17" s="28">
        <f t="shared" si="5"/>
        <v>40256.584976086349</v>
      </c>
      <c r="W17" s="28">
        <f t="shared" si="5"/>
        <v>40457.867900966776</v>
      </c>
      <c r="X17" s="28">
        <f t="shared" si="5"/>
        <v>40660.157240471606</v>
      </c>
      <c r="Y17" s="28">
        <f t="shared" si="5"/>
        <v>40863.458026673958</v>
      </c>
      <c r="Z17" s="28">
        <f t="shared" si="5"/>
        <v>41067.775316807325</v>
      </c>
      <c r="AA17" s="28">
        <f t="shared" si="5"/>
        <v>41273.11419339136</v>
      </c>
      <c r="AB17" s="28">
        <f t="shared" si="5"/>
        <v>41479.479764358315</v>
      </c>
      <c r="AC17" s="28">
        <f t="shared" si="5"/>
        <v>41686.877163180099</v>
      </c>
      <c r="AD17" s="28">
        <f t="shared" si="5"/>
        <v>41895.311548995996</v>
      </c>
      <c r="AE17" s="28">
        <f t="shared" si="5"/>
        <v>42104.788106740969</v>
      </c>
      <c r="AF17" s="28">
        <f t="shared" si="5"/>
        <v>42315.312047274667</v>
      </c>
      <c r="AG17" s="28">
        <f t="shared" si="5"/>
        <v>42526.888607511035</v>
      </c>
      <c r="AH17" s="50">
        <f t="shared" si="5"/>
        <v>42739.523050548589</v>
      </c>
    </row>
    <row r="18" spans="2:34" ht="15.75" thickTop="1">
      <c r="B18" s="51" t="s">
        <v>131</v>
      </c>
      <c r="C18" s="107"/>
      <c r="D18" s="107">
        <f>Zusammenfassung!G13</f>
        <v>86602.5</v>
      </c>
      <c r="E18" s="34">
        <f t="shared" ref="E18:AH18" si="6">SUM(E14:E17)</f>
        <v>64662.19999999999</v>
      </c>
      <c r="F18" s="34">
        <f t="shared" si="6"/>
        <v>65179.258399999984</v>
      </c>
      <c r="G18" s="34">
        <f t="shared" si="6"/>
        <v>65701.227060799982</v>
      </c>
      <c r="H18" s="34">
        <f t="shared" si="6"/>
        <v>66228.158433329576</v>
      </c>
      <c r="I18" s="34">
        <f t="shared" si="6"/>
        <v>66760.10556556852</v>
      </c>
      <c r="J18" s="34">
        <f t="shared" si="6"/>
        <v>67297.122109549528</v>
      </c>
      <c r="K18" s="34">
        <f t="shared" si="6"/>
        <v>67839.262328444296</v>
      </c>
      <c r="L18" s="34">
        <f t="shared" si="6"/>
        <v>68386.581103733683</v>
      </c>
      <c r="M18" s="34">
        <f t="shared" si="6"/>
        <v>68939.13394246329</v>
      </c>
      <c r="N18" s="34">
        <f t="shared" si="6"/>
        <v>69496.976984585082</v>
      </c>
      <c r="O18" s="34">
        <f t="shared" si="6"/>
        <v>70060.167010386387</v>
      </c>
      <c r="P18" s="34">
        <f t="shared" si="6"/>
        <v>70628.761448007252</v>
      </c>
      <c r="Q18" s="34">
        <f t="shared" si="6"/>
        <v>71202.818381047051</v>
      </c>
      <c r="R18" s="34">
        <f t="shared" si="6"/>
        <v>71782.396556261636</v>
      </c>
      <c r="S18" s="34">
        <f t="shared" si="6"/>
        <v>72367.555391351998</v>
      </c>
      <c r="T18" s="34">
        <f t="shared" si="6"/>
        <v>72958.354982845529</v>
      </c>
      <c r="U18" s="34">
        <f t="shared" si="6"/>
        <v>73554.856114070979</v>
      </c>
      <c r="V18" s="34">
        <f t="shared" si="6"/>
        <v>74157.12026322828</v>
      </c>
      <c r="W18" s="34">
        <f t="shared" si="6"/>
        <v>74765.209611554397</v>
      </c>
      <c r="X18" s="34">
        <f t="shared" si="6"/>
        <v>75379.187051586283</v>
      </c>
      <c r="Y18" s="34">
        <f t="shared" si="6"/>
        <v>75999.116195522016</v>
      </c>
      <c r="Z18" s="34">
        <f t="shared" si="6"/>
        <v>76625.061383681546</v>
      </c>
      <c r="AA18" s="34">
        <f t="shared" si="6"/>
        <v>77257.087693068082</v>
      </c>
      <c r="AB18" s="34">
        <f t="shared" si="6"/>
        <v>77895.260946031165</v>
      </c>
      <c r="AC18" s="34">
        <f t="shared" si="6"/>
        <v>78539.647719033019</v>
      </c>
      <c r="AD18" s="34">
        <f t="shared" si="6"/>
        <v>79190.315351519152</v>
      </c>
      <c r="AE18" s="34">
        <f t="shared" si="6"/>
        <v>79847.331954894413</v>
      </c>
      <c r="AF18" s="34">
        <f t="shared" si="6"/>
        <v>80510.766421605949</v>
      </c>
      <c r="AG18" s="34">
        <f t="shared" si="6"/>
        <v>81180.688434334283</v>
      </c>
      <c r="AH18" s="52">
        <f t="shared" si="6"/>
        <v>81857.168475293729</v>
      </c>
    </row>
    <row r="19" spans="2:34">
      <c r="B19" s="47"/>
      <c r="C19" s="6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41"/>
    </row>
    <row r="20" spans="2:34">
      <c r="B20" s="51" t="s">
        <v>26</v>
      </c>
      <c r="C20" s="71" t="s">
        <v>157</v>
      </c>
      <c r="E20" s="24"/>
      <c r="AH20" s="5"/>
    </row>
    <row r="21" spans="2:34" ht="15.75" thickBot="1">
      <c r="B21" s="49" t="s">
        <v>158</v>
      </c>
      <c r="C21" s="65">
        <f>IF(Randbedingungen!$E$30="Spezifisch",Randbedingungen!E39,Randbedingungen!$E$32)</f>
        <v>1.4999999999999999E-2</v>
      </c>
      <c r="D21" s="108">
        <f>Zusammenfassung!G15</f>
        <v>34020</v>
      </c>
      <c r="E21" s="26">
        <f>Zusammenfassung!E15*(1+C21)</f>
        <v>25577.999999999996</v>
      </c>
      <c r="F21" s="28">
        <f>E21*(1+$C$21)</f>
        <v>25961.669999999995</v>
      </c>
      <c r="G21" s="28">
        <f>F21*(1+$C$21)</f>
        <v>26351.095049999993</v>
      </c>
      <c r="H21" s="28">
        <f t="shared" ref="H21:AH21" si="7">G21*(1+$C$21)</f>
        <v>26746.361475749989</v>
      </c>
      <c r="I21" s="28">
        <f t="shared" si="7"/>
        <v>27147.556897886236</v>
      </c>
      <c r="J21" s="28">
        <f t="shared" si="7"/>
        <v>27554.770251354526</v>
      </c>
      <c r="K21" s="28">
        <f t="shared" si="7"/>
        <v>27968.091805124841</v>
      </c>
      <c r="L21" s="28">
        <f t="shared" si="7"/>
        <v>28387.613182201712</v>
      </c>
      <c r="M21" s="28">
        <f t="shared" si="7"/>
        <v>28813.427379934736</v>
      </c>
      <c r="N21" s="28">
        <f t="shared" si="7"/>
        <v>29245.628790633753</v>
      </c>
      <c r="O21" s="28">
        <f t="shared" si="7"/>
        <v>29684.313222493256</v>
      </c>
      <c r="P21" s="28">
        <f t="shared" si="7"/>
        <v>30129.577920830652</v>
      </c>
      <c r="Q21" s="28">
        <f t="shared" si="7"/>
        <v>30581.521589643107</v>
      </c>
      <c r="R21" s="28">
        <f t="shared" si="7"/>
        <v>31040.244413487751</v>
      </c>
      <c r="S21" s="28">
        <f t="shared" si="7"/>
        <v>31505.848079690066</v>
      </c>
      <c r="T21" s="28">
        <f t="shared" si="7"/>
        <v>31978.435800885414</v>
      </c>
      <c r="U21" s="28">
        <f t="shared" si="7"/>
        <v>32458.112337898692</v>
      </c>
      <c r="V21" s="28">
        <f t="shared" si="7"/>
        <v>32944.984022967168</v>
      </c>
      <c r="W21" s="28">
        <f t="shared" si="7"/>
        <v>33439.158783311672</v>
      </c>
      <c r="X21" s="28">
        <f t="shared" si="7"/>
        <v>33940.74616506134</v>
      </c>
      <c r="Y21" s="28">
        <f t="shared" si="7"/>
        <v>34449.857357537257</v>
      </c>
      <c r="Z21" s="28">
        <f t="shared" si="7"/>
        <v>34966.605217900316</v>
      </c>
      <c r="AA21" s="28">
        <f t="shared" si="7"/>
        <v>35491.104296168814</v>
      </c>
      <c r="AB21" s="28">
        <f t="shared" si="7"/>
        <v>36023.470860611342</v>
      </c>
      <c r="AC21" s="28">
        <f t="shared" si="7"/>
        <v>36563.822923520507</v>
      </c>
      <c r="AD21" s="28">
        <f t="shared" si="7"/>
        <v>37112.280267373309</v>
      </c>
      <c r="AE21" s="28">
        <f t="shared" si="7"/>
        <v>37668.964471383908</v>
      </c>
      <c r="AF21" s="28">
        <f t="shared" si="7"/>
        <v>38233.998938454664</v>
      </c>
      <c r="AG21" s="28">
        <f t="shared" si="7"/>
        <v>38807.50892253148</v>
      </c>
      <c r="AH21" s="50">
        <f t="shared" si="7"/>
        <v>39389.62155636945</v>
      </c>
    </row>
    <row r="22" spans="2:34" ht="16.5" thickTop="1" thickBot="1">
      <c r="B22" s="53" t="s">
        <v>131</v>
      </c>
      <c r="C22" s="72"/>
      <c r="D22" s="109">
        <f>Zusammenfassung!G16</f>
        <v>34020</v>
      </c>
      <c r="E22" s="54">
        <f>E21</f>
        <v>25577.999999999996</v>
      </c>
      <c r="F22" s="54">
        <f t="shared" ref="F22:AH22" si="8">F21</f>
        <v>25961.669999999995</v>
      </c>
      <c r="G22" s="54">
        <f t="shared" si="8"/>
        <v>26351.095049999993</v>
      </c>
      <c r="H22" s="54">
        <f t="shared" si="8"/>
        <v>26746.361475749989</v>
      </c>
      <c r="I22" s="54">
        <f t="shared" si="8"/>
        <v>27147.556897886236</v>
      </c>
      <c r="J22" s="54">
        <f t="shared" si="8"/>
        <v>27554.770251354526</v>
      </c>
      <c r="K22" s="54">
        <f t="shared" si="8"/>
        <v>27968.091805124841</v>
      </c>
      <c r="L22" s="54">
        <f t="shared" si="8"/>
        <v>28387.613182201712</v>
      </c>
      <c r="M22" s="54">
        <f t="shared" si="8"/>
        <v>28813.427379934736</v>
      </c>
      <c r="N22" s="54">
        <f t="shared" si="8"/>
        <v>29245.628790633753</v>
      </c>
      <c r="O22" s="54">
        <f t="shared" si="8"/>
        <v>29684.313222493256</v>
      </c>
      <c r="P22" s="54">
        <f t="shared" si="8"/>
        <v>30129.577920830652</v>
      </c>
      <c r="Q22" s="54">
        <f t="shared" si="8"/>
        <v>30581.521589643107</v>
      </c>
      <c r="R22" s="54">
        <f t="shared" si="8"/>
        <v>31040.244413487751</v>
      </c>
      <c r="S22" s="54">
        <f t="shared" si="8"/>
        <v>31505.848079690066</v>
      </c>
      <c r="T22" s="54">
        <f t="shared" si="8"/>
        <v>31978.435800885414</v>
      </c>
      <c r="U22" s="54">
        <f t="shared" si="8"/>
        <v>32458.112337898692</v>
      </c>
      <c r="V22" s="54">
        <f t="shared" si="8"/>
        <v>32944.984022967168</v>
      </c>
      <c r="W22" s="54">
        <f t="shared" si="8"/>
        <v>33439.158783311672</v>
      </c>
      <c r="X22" s="54">
        <f t="shared" si="8"/>
        <v>33940.74616506134</v>
      </c>
      <c r="Y22" s="54">
        <f t="shared" si="8"/>
        <v>34449.857357537257</v>
      </c>
      <c r="Z22" s="54">
        <f t="shared" si="8"/>
        <v>34966.605217900316</v>
      </c>
      <c r="AA22" s="54">
        <f t="shared" si="8"/>
        <v>35491.104296168814</v>
      </c>
      <c r="AB22" s="54">
        <f t="shared" si="8"/>
        <v>36023.470860611342</v>
      </c>
      <c r="AC22" s="54">
        <f t="shared" si="8"/>
        <v>36563.822923520507</v>
      </c>
      <c r="AD22" s="54">
        <f t="shared" si="8"/>
        <v>37112.280267373309</v>
      </c>
      <c r="AE22" s="54">
        <f t="shared" si="8"/>
        <v>37668.964471383908</v>
      </c>
      <c r="AF22" s="54">
        <f t="shared" si="8"/>
        <v>38233.998938454664</v>
      </c>
      <c r="AG22" s="54">
        <f t="shared" si="8"/>
        <v>38807.50892253148</v>
      </c>
      <c r="AH22" s="55">
        <f t="shared" si="8"/>
        <v>39389.62155636945</v>
      </c>
    </row>
    <row r="23" spans="2:34" ht="15.75" thickBot="1">
      <c r="B23" s="21"/>
      <c r="C23" s="71"/>
      <c r="D23" s="21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</row>
    <row r="24" spans="2:34">
      <c r="B24" s="99" t="s">
        <v>69</v>
      </c>
      <c r="C24" s="70" t="s">
        <v>159</v>
      </c>
      <c r="D24" s="100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2"/>
    </row>
    <row r="25" spans="2:34">
      <c r="B25" s="92" t="s">
        <v>149</v>
      </c>
      <c r="C25" s="64">
        <f>IF(Randbedingungen!$E$30="Spezifisch",Randbedingungen!E41,Randbedingungen!$E$32)</f>
        <v>5.0000000000000001E-3</v>
      </c>
      <c r="D25" s="110">
        <f>Zusammenfassung!G18</f>
        <v>54000</v>
      </c>
      <c r="E25" s="14">
        <f>Zusammenfassung!E18*(1+C25)</f>
        <v>54269.999999999993</v>
      </c>
      <c r="F25" s="14">
        <f>E25*(1+$C$25)</f>
        <v>54541.349999999984</v>
      </c>
      <c r="G25" s="14">
        <f t="shared" ref="G25:AH25" si="9">F25*(1+$C$25)</f>
        <v>54814.056749999982</v>
      </c>
      <c r="H25" s="14">
        <f t="shared" si="9"/>
        <v>55088.127033749974</v>
      </c>
      <c r="I25" s="14">
        <f t="shared" si="9"/>
        <v>55363.567668918717</v>
      </c>
      <c r="J25" s="14">
        <f t="shared" si="9"/>
        <v>55640.385507263301</v>
      </c>
      <c r="K25" s="14">
        <f t="shared" si="9"/>
        <v>55918.587434799614</v>
      </c>
      <c r="L25" s="14">
        <f t="shared" si="9"/>
        <v>56198.180371973605</v>
      </c>
      <c r="M25" s="14">
        <f t="shared" si="9"/>
        <v>56479.171273833468</v>
      </c>
      <c r="N25" s="14">
        <f t="shared" si="9"/>
        <v>56761.567130202631</v>
      </c>
      <c r="O25" s="14">
        <f t="shared" si="9"/>
        <v>57045.37496585364</v>
      </c>
      <c r="P25" s="14">
        <f t="shared" si="9"/>
        <v>57330.601840682903</v>
      </c>
      <c r="Q25" s="14">
        <f t="shared" si="9"/>
        <v>57617.254849886311</v>
      </c>
      <c r="R25" s="14">
        <f t="shared" si="9"/>
        <v>57905.341124135739</v>
      </c>
      <c r="S25" s="14">
        <f t="shared" si="9"/>
        <v>58194.867829756411</v>
      </c>
      <c r="T25" s="14">
        <f t="shared" si="9"/>
        <v>58485.84216890519</v>
      </c>
      <c r="U25" s="14">
        <f t="shared" si="9"/>
        <v>58778.271379749713</v>
      </c>
      <c r="V25" s="14">
        <f t="shared" si="9"/>
        <v>59072.162736648454</v>
      </c>
      <c r="W25" s="14">
        <f t="shared" si="9"/>
        <v>59367.523550331687</v>
      </c>
      <c r="X25" s="14">
        <f t="shared" si="9"/>
        <v>59664.361168083342</v>
      </c>
      <c r="Y25" s="14">
        <f t="shared" si="9"/>
        <v>59962.682973923751</v>
      </c>
      <c r="Z25" s="14">
        <f t="shared" si="9"/>
        <v>60262.496388793363</v>
      </c>
      <c r="AA25" s="14">
        <f t="shared" si="9"/>
        <v>60563.808870737324</v>
      </c>
      <c r="AB25" s="14">
        <f t="shared" si="9"/>
        <v>60866.627915091005</v>
      </c>
      <c r="AC25" s="14">
        <f t="shared" si="9"/>
        <v>61170.961054666455</v>
      </c>
      <c r="AD25" s="14">
        <f t="shared" si="9"/>
        <v>61476.815859939779</v>
      </c>
      <c r="AE25" s="14">
        <f t="shared" si="9"/>
        <v>61784.199939239472</v>
      </c>
      <c r="AF25" s="14">
        <f t="shared" si="9"/>
        <v>62093.120938935659</v>
      </c>
      <c r="AG25" s="14">
        <f t="shared" si="9"/>
        <v>62403.586543630328</v>
      </c>
      <c r="AH25" s="15">
        <f t="shared" si="9"/>
        <v>62715.604476348475</v>
      </c>
    </row>
    <row r="26" spans="2:34">
      <c r="B26" s="93" t="s">
        <v>160</v>
      </c>
      <c r="C26" s="67" t="s">
        <v>161</v>
      </c>
      <c r="AH26" s="5"/>
    </row>
    <row r="27" spans="2:34">
      <c r="B27" s="92" t="s">
        <v>74</v>
      </c>
      <c r="C27" s="64">
        <f>Input!E122</f>
        <v>0.02</v>
      </c>
      <c r="D27" s="105">
        <f>Zusammenfassung!G19</f>
        <v>5500</v>
      </c>
      <c r="E27" s="24">
        <f>$C$27*Zusammenfassung!$E$7</f>
        <v>6600</v>
      </c>
      <c r="F27" s="24">
        <f>$C$27*Zusammenfassung!$E$7</f>
        <v>6600</v>
      </c>
      <c r="G27" s="24">
        <f>$C$27*Zusammenfassung!$E$7</f>
        <v>6600</v>
      </c>
      <c r="H27" s="24">
        <f>$C$27*Zusammenfassung!$E$7</f>
        <v>6600</v>
      </c>
      <c r="I27" s="24">
        <f>$C$27*Zusammenfassung!$E$7</f>
        <v>6600</v>
      </c>
      <c r="J27" s="24">
        <f>$C$27*Zusammenfassung!$E$7</f>
        <v>6600</v>
      </c>
      <c r="K27" s="24">
        <f>$C$27*Zusammenfassung!$E$7</f>
        <v>6600</v>
      </c>
      <c r="L27" s="24">
        <f>$C$27*Zusammenfassung!$E$7</f>
        <v>6600</v>
      </c>
      <c r="M27" s="24">
        <f>$C$27*Zusammenfassung!$E$7</f>
        <v>6600</v>
      </c>
      <c r="N27" s="24">
        <f>$C$27*Zusammenfassung!$E$7</f>
        <v>6600</v>
      </c>
      <c r="O27" s="24">
        <f>$C$27*Zusammenfassung!$E$7</f>
        <v>6600</v>
      </c>
      <c r="P27" s="24">
        <f>$C$27*Zusammenfassung!$E$7</f>
        <v>6600</v>
      </c>
      <c r="Q27" s="24">
        <f>$C$27*Zusammenfassung!$E$7</f>
        <v>6600</v>
      </c>
      <c r="R27" s="24">
        <f>$C$27*Zusammenfassung!$E$7</f>
        <v>6600</v>
      </c>
      <c r="S27" s="24">
        <f>$C$27*Zusammenfassung!$E$7</f>
        <v>6600</v>
      </c>
      <c r="T27" s="24">
        <f>$C$27*Zusammenfassung!$E$7</f>
        <v>6600</v>
      </c>
      <c r="U27" s="24">
        <f>$C$27*Zusammenfassung!$E$7</f>
        <v>6600</v>
      </c>
      <c r="V27" s="24">
        <f>$C$27*Zusammenfassung!$E$7</f>
        <v>6600</v>
      </c>
      <c r="W27" s="24">
        <f>$C$27*Zusammenfassung!$E$7</f>
        <v>6600</v>
      </c>
      <c r="X27" s="24">
        <f>$C$27*Zusammenfassung!$E$7</f>
        <v>6600</v>
      </c>
      <c r="Y27" s="24">
        <f>$C$27*Zusammenfassung!$E$7</f>
        <v>6600</v>
      </c>
      <c r="Z27" s="24">
        <f>$C$27*Zusammenfassung!$E$7</f>
        <v>6600</v>
      </c>
      <c r="AA27" s="24">
        <f>$C$27*Zusammenfassung!$E$7</f>
        <v>6600</v>
      </c>
      <c r="AB27" s="24">
        <f>$C$27*Zusammenfassung!$E$7</f>
        <v>6600</v>
      </c>
      <c r="AC27" s="24">
        <f>$C$27*Zusammenfassung!$E$7</f>
        <v>6600</v>
      </c>
      <c r="AD27" s="24">
        <f>$C$27*Zusammenfassung!$E$7</f>
        <v>6600</v>
      </c>
      <c r="AE27" s="24">
        <f>$C$27*Zusammenfassung!$E$7</f>
        <v>6600</v>
      </c>
      <c r="AF27" s="24">
        <f>$C$27*Zusammenfassung!$E$7</f>
        <v>6600</v>
      </c>
      <c r="AG27" s="24">
        <f>$C$27*Zusammenfassung!$E$7</f>
        <v>6600</v>
      </c>
      <c r="AH27" s="41">
        <f>$C$27*Zusammenfassung!$E$7</f>
        <v>6600</v>
      </c>
    </row>
    <row r="28" spans="2:34" ht="15.75" thickBot="1">
      <c r="B28" s="94" t="s">
        <v>162</v>
      </c>
      <c r="C28" s="65">
        <f>Input!E123</f>
        <v>0.01</v>
      </c>
      <c r="D28" s="108">
        <f>Zusammenfassung!G20</f>
        <v>2750</v>
      </c>
      <c r="E28" s="26">
        <f>$C$28*Zusammenfassung!$E$7</f>
        <v>3300</v>
      </c>
      <c r="F28" s="26">
        <f>$C$28*Zusammenfassung!$E$7</f>
        <v>3300</v>
      </c>
      <c r="G28" s="26">
        <f>$C$28*Zusammenfassung!$E$7</f>
        <v>3300</v>
      </c>
      <c r="H28" s="26">
        <f>$C$28*Zusammenfassung!$E$7</f>
        <v>3300</v>
      </c>
      <c r="I28" s="26">
        <f>$C$28*Zusammenfassung!$E$7</f>
        <v>3300</v>
      </c>
      <c r="J28" s="26">
        <f>$C$28*Zusammenfassung!$E$7</f>
        <v>3300</v>
      </c>
      <c r="K28" s="26">
        <f>$C$28*Zusammenfassung!$E$7</f>
        <v>3300</v>
      </c>
      <c r="L28" s="26">
        <f>$C$28*Zusammenfassung!$E$7</f>
        <v>3300</v>
      </c>
      <c r="M28" s="26">
        <f>$C$28*Zusammenfassung!$E$7</f>
        <v>3300</v>
      </c>
      <c r="N28" s="26">
        <f>$C$28*Zusammenfassung!$E$7</f>
        <v>3300</v>
      </c>
      <c r="O28" s="26">
        <f>$C$28*Zusammenfassung!$E$7</f>
        <v>3300</v>
      </c>
      <c r="P28" s="26">
        <f>$C$28*Zusammenfassung!$E$7</f>
        <v>3300</v>
      </c>
      <c r="Q28" s="26">
        <f>$C$28*Zusammenfassung!$E$7</f>
        <v>3300</v>
      </c>
      <c r="R28" s="26">
        <f>$C$28*Zusammenfassung!$E$7</f>
        <v>3300</v>
      </c>
      <c r="S28" s="26">
        <f>$C$28*Zusammenfassung!$E$7</f>
        <v>3300</v>
      </c>
      <c r="T28" s="26">
        <f>$C$28*Zusammenfassung!$E$7</f>
        <v>3300</v>
      </c>
      <c r="U28" s="26">
        <f>$C$28*Zusammenfassung!$E$7</f>
        <v>3300</v>
      </c>
      <c r="V28" s="26">
        <f>$C$28*Zusammenfassung!$E$7</f>
        <v>3300</v>
      </c>
      <c r="W28" s="26">
        <f>$C$28*Zusammenfassung!$E$7</f>
        <v>3300</v>
      </c>
      <c r="X28" s="26">
        <f>$C$28*Zusammenfassung!$E$7</f>
        <v>3300</v>
      </c>
      <c r="Y28" s="26">
        <f>$C$28*Zusammenfassung!$E$7</f>
        <v>3300</v>
      </c>
      <c r="Z28" s="26">
        <f>$C$28*Zusammenfassung!$E$7</f>
        <v>3300</v>
      </c>
      <c r="AA28" s="26">
        <f>$C$28*Zusammenfassung!$E$7</f>
        <v>3300</v>
      </c>
      <c r="AB28" s="26">
        <f>$C$28*Zusammenfassung!$E$7</f>
        <v>3300</v>
      </c>
      <c r="AC28" s="26">
        <f>$C$28*Zusammenfassung!$E$7</f>
        <v>3300</v>
      </c>
      <c r="AD28" s="26">
        <f>$C$28*Zusammenfassung!$E$7</f>
        <v>3300</v>
      </c>
      <c r="AE28" s="26">
        <f>$C$28*Zusammenfassung!$E$7</f>
        <v>3300</v>
      </c>
      <c r="AF28" s="26">
        <f>$C$28*Zusammenfassung!$E$7</f>
        <v>3300</v>
      </c>
      <c r="AG28" s="26">
        <f>$C$28*Zusammenfassung!$E$7</f>
        <v>3300</v>
      </c>
      <c r="AH28" s="43">
        <f>$C$28*Zusammenfassung!$E$7</f>
        <v>3300</v>
      </c>
    </row>
    <row r="29" spans="2:34" ht="16.5" thickTop="1" thickBot="1">
      <c r="B29" s="95" t="s">
        <v>131</v>
      </c>
      <c r="C29" s="96"/>
      <c r="D29" s="111">
        <f>Zusammenfassung!G21</f>
        <v>62250</v>
      </c>
      <c r="E29" s="98">
        <f>SUM(E25:E28)</f>
        <v>64169.999999999993</v>
      </c>
      <c r="F29" s="98">
        <f t="shared" ref="F29:AH29" si="10">SUM(F25:F28)</f>
        <v>64441.349999999984</v>
      </c>
      <c r="G29" s="98">
        <f t="shared" si="10"/>
        <v>64714.056749999982</v>
      </c>
      <c r="H29" s="98">
        <f t="shared" si="10"/>
        <v>64988.127033749974</v>
      </c>
      <c r="I29" s="98">
        <f t="shared" si="10"/>
        <v>65263.567668918717</v>
      </c>
      <c r="J29" s="98">
        <f t="shared" si="10"/>
        <v>65540.385507263301</v>
      </c>
      <c r="K29" s="98">
        <f t="shared" si="10"/>
        <v>65818.587434799614</v>
      </c>
      <c r="L29" s="98">
        <f t="shared" si="10"/>
        <v>66098.180371973605</v>
      </c>
      <c r="M29" s="98">
        <f t="shared" si="10"/>
        <v>66379.171273833461</v>
      </c>
      <c r="N29" s="98">
        <f t="shared" si="10"/>
        <v>66661.567130202631</v>
      </c>
      <c r="O29" s="98">
        <f t="shared" si="10"/>
        <v>66945.37496585364</v>
      </c>
      <c r="P29" s="98">
        <f t="shared" si="10"/>
        <v>67230.60184068291</v>
      </c>
      <c r="Q29" s="98">
        <f t="shared" si="10"/>
        <v>67517.254849886318</v>
      </c>
      <c r="R29" s="98">
        <f t="shared" si="10"/>
        <v>67805.341124135739</v>
      </c>
      <c r="S29" s="98">
        <f t="shared" si="10"/>
        <v>68094.867829756404</v>
      </c>
      <c r="T29" s="98">
        <f t="shared" si="10"/>
        <v>68385.84216890519</v>
      </c>
      <c r="U29" s="98">
        <f t="shared" si="10"/>
        <v>68678.271379749713</v>
      </c>
      <c r="V29" s="98">
        <f t="shared" si="10"/>
        <v>68972.162736648461</v>
      </c>
      <c r="W29" s="98">
        <f t="shared" si="10"/>
        <v>69267.52355033168</v>
      </c>
      <c r="X29" s="98">
        <f t="shared" si="10"/>
        <v>69564.361168083342</v>
      </c>
      <c r="Y29" s="98">
        <f t="shared" si="10"/>
        <v>69862.682973923744</v>
      </c>
      <c r="Z29" s="98">
        <f t="shared" si="10"/>
        <v>70162.49638879337</v>
      </c>
      <c r="AA29" s="98">
        <f t="shared" si="10"/>
        <v>70463.808870737324</v>
      </c>
      <c r="AB29" s="98">
        <f t="shared" si="10"/>
        <v>70766.627915090998</v>
      </c>
      <c r="AC29" s="98">
        <f t="shared" si="10"/>
        <v>71070.961054666463</v>
      </c>
      <c r="AD29" s="98">
        <f t="shared" si="10"/>
        <v>71376.815859939787</v>
      </c>
      <c r="AE29" s="98">
        <f t="shared" si="10"/>
        <v>71684.199939239479</v>
      </c>
      <c r="AF29" s="98">
        <f t="shared" si="10"/>
        <v>71993.120938935666</v>
      </c>
      <c r="AG29" s="98">
        <f t="shared" si="10"/>
        <v>72303.586543630328</v>
      </c>
      <c r="AH29" s="104">
        <f t="shared" si="10"/>
        <v>72615.604476348468</v>
      </c>
    </row>
    <row r="30" spans="2:34" ht="15.75" thickBot="1">
      <c r="C30" s="69"/>
    </row>
    <row r="31" spans="2:34">
      <c r="B31" s="56" t="s">
        <v>139</v>
      </c>
      <c r="C31" s="70" t="s">
        <v>158</v>
      </c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8"/>
    </row>
    <row r="32" spans="2:34">
      <c r="B32" s="57" t="s">
        <v>140</v>
      </c>
      <c r="C32" s="205">
        <f>IF(Randbedingungen!$E$30="Spezifisch",Randbedingungen!E40,Randbedingungen!$E$32)</f>
        <v>0.02</v>
      </c>
      <c r="D32" s="105">
        <f>Zusammenfassung!G23</f>
        <v>156000</v>
      </c>
      <c r="E32" s="24">
        <f>Zusammenfassung!E23*(1+C32)</f>
        <v>159120</v>
      </c>
      <c r="F32" s="14">
        <f t="shared" ref="F32:AH32" si="11">E32*(1+$C$32)</f>
        <v>162302.39999999999</v>
      </c>
      <c r="G32" s="14">
        <f t="shared" si="11"/>
        <v>165548.448</v>
      </c>
      <c r="H32" s="14">
        <f t="shared" si="11"/>
        <v>168859.41696</v>
      </c>
      <c r="I32" s="14">
        <f t="shared" si="11"/>
        <v>172236.60529920002</v>
      </c>
      <c r="J32" s="14">
        <f t="shared" si="11"/>
        <v>175681.33740518402</v>
      </c>
      <c r="K32" s="14">
        <f t="shared" si="11"/>
        <v>179194.9641532877</v>
      </c>
      <c r="L32" s="14">
        <f t="shared" si="11"/>
        <v>182778.86343635345</v>
      </c>
      <c r="M32" s="14">
        <f t="shared" si="11"/>
        <v>186434.44070508052</v>
      </c>
      <c r="N32" s="14">
        <f t="shared" si="11"/>
        <v>190163.12951918214</v>
      </c>
      <c r="O32" s="14">
        <f t="shared" si="11"/>
        <v>193966.39210956579</v>
      </c>
      <c r="P32" s="14">
        <f t="shared" si="11"/>
        <v>197845.71995175711</v>
      </c>
      <c r="Q32" s="14">
        <f t="shared" si="11"/>
        <v>201802.63435079227</v>
      </c>
      <c r="R32" s="14">
        <f t="shared" si="11"/>
        <v>205838.68703780812</v>
      </c>
      <c r="S32" s="14">
        <f t="shared" si="11"/>
        <v>209955.4607785643</v>
      </c>
      <c r="T32" s="14">
        <f t="shared" si="11"/>
        <v>214154.56999413559</v>
      </c>
      <c r="U32" s="14">
        <f t="shared" si="11"/>
        <v>218437.6613940183</v>
      </c>
      <c r="V32" s="14">
        <f t="shared" si="11"/>
        <v>222806.41462189867</v>
      </c>
      <c r="W32" s="14">
        <f t="shared" si="11"/>
        <v>227262.54291433663</v>
      </c>
      <c r="X32" s="14">
        <f t="shared" si="11"/>
        <v>231807.79377262338</v>
      </c>
      <c r="Y32" s="14">
        <f t="shared" si="11"/>
        <v>236443.94964807585</v>
      </c>
      <c r="Z32" s="14">
        <f t="shared" si="11"/>
        <v>241172.82864103737</v>
      </c>
      <c r="AA32" s="14">
        <f t="shared" si="11"/>
        <v>245996.28521385812</v>
      </c>
      <c r="AB32" s="14">
        <f t="shared" si="11"/>
        <v>250916.2109181353</v>
      </c>
      <c r="AC32" s="14">
        <f t="shared" si="11"/>
        <v>255934.53513649802</v>
      </c>
      <c r="AD32" s="14">
        <f t="shared" si="11"/>
        <v>261053.22583922799</v>
      </c>
      <c r="AE32" s="14">
        <f t="shared" si="11"/>
        <v>266274.29035601253</v>
      </c>
      <c r="AF32" s="14">
        <f t="shared" si="11"/>
        <v>271599.7761631328</v>
      </c>
      <c r="AG32" s="14">
        <f t="shared" si="11"/>
        <v>277031.77168639546</v>
      </c>
      <c r="AH32" s="15">
        <f t="shared" si="11"/>
        <v>282572.40712012339</v>
      </c>
    </row>
    <row r="33" spans="2:34" ht="15.75" thickBot="1">
      <c r="B33" s="58" t="s">
        <v>141</v>
      </c>
      <c r="C33" s="206">
        <f>IF(Randbedingungen!$E$30="Spezifisch",Randbedingungen!E40,Randbedingungen!$E$32)</f>
        <v>0.02</v>
      </c>
      <c r="D33" s="108">
        <f>Zusammenfassung!G24</f>
        <v>18000</v>
      </c>
      <c r="E33" s="26">
        <f>Zusammenfassung!E24*(1+C33)</f>
        <v>18360</v>
      </c>
      <c r="F33" s="29">
        <f>E33*(1+$C$33)</f>
        <v>18727.2</v>
      </c>
      <c r="G33" s="29">
        <f t="shared" ref="G33:AH33" si="12">F33*(1+$C$33)</f>
        <v>19101.744000000002</v>
      </c>
      <c r="H33" s="29">
        <f t="shared" si="12"/>
        <v>19483.778880000002</v>
      </c>
      <c r="I33" s="29">
        <f t="shared" si="12"/>
        <v>19873.454457600001</v>
      </c>
      <c r="J33" s="29">
        <f t="shared" si="12"/>
        <v>20270.923546752001</v>
      </c>
      <c r="K33" s="29">
        <f t="shared" si="12"/>
        <v>20676.342017687042</v>
      </c>
      <c r="L33" s="29">
        <f t="shared" si="12"/>
        <v>21089.868858040783</v>
      </c>
      <c r="M33" s="29">
        <f t="shared" si="12"/>
        <v>21511.666235201599</v>
      </c>
      <c r="N33" s="29">
        <f t="shared" si="12"/>
        <v>21941.899559905632</v>
      </c>
      <c r="O33" s="29">
        <f t="shared" si="12"/>
        <v>22380.737551103746</v>
      </c>
      <c r="P33" s="29">
        <f t="shared" si="12"/>
        <v>22828.352302125822</v>
      </c>
      <c r="Q33" s="29">
        <f t="shared" si="12"/>
        <v>23284.91934816834</v>
      </c>
      <c r="R33" s="29">
        <f t="shared" si="12"/>
        <v>23750.617735131706</v>
      </c>
      <c r="S33" s="29">
        <f t="shared" si="12"/>
        <v>24225.63008983434</v>
      </c>
      <c r="T33" s="29">
        <f t="shared" si="12"/>
        <v>24710.142691631027</v>
      </c>
      <c r="U33" s="29">
        <f t="shared" si="12"/>
        <v>25204.345545463646</v>
      </c>
      <c r="V33" s="29">
        <f t="shared" si="12"/>
        <v>25708.432456372921</v>
      </c>
      <c r="W33" s="29">
        <f t="shared" si="12"/>
        <v>26222.60110550038</v>
      </c>
      <c r="X33" s="29">
        <f t="shared" si="12"/>
        <v>26747.053127610387</v>
      </c>
      <c r="Y33" s="29">
        <f t="shared" si="12"/>
        <v>27281.994190162593</v>
      </c>
      <c r="Z33" s="29">
        <f t="shared" si="12"/>
        <v>27827.634073965844</v>
      </c>
      <c r="AA33" s="29">
        <f t="shared" si="12"/>
        <v>28384.18675544516</v>
      </c>
      <c r="AB33" s="29">
        <f t="shared" si="12"/>
        <v>28951.870490554065</v>
      </c>
      <c r="AC33" s="29">
        <f t="shared" si="12"/>
        <v>29530.907900365146</v>
      </c>
      <c r="AD33" s="29">
        <f t="shared" si="12"/>
        <v>30121.526058372448</v>
      </c>
      <c r="AE33" s="29">
        <f t="shared" si="12"/>
        <v>30723.956579539899</v>
      </c>
      <c r="AF33" s="29">
        <f t="shared" si="12"/>
        <v>31338.435711130696</v>
      </c>
      <c r="AG33" s="29">
        <f t="shared" si="12"/>
        <v>31965.204425353309</v>
      </c>
      <c r="AH33" s="59">
        <f t="shared" si="12"/>
        <v>32604.508513860375</v>
      </c>
    </row>
    <row r="34" spans="2:34" ht="16.5" thickTop="1" thickBot="1">
      <c r="B34" s="60" t="s">
        <v>131</v>
      </c>
      <c r="C34" s="61"/>
      <c r="D34" s="112">
        <f>Zusammenfassung!G25</f>
        <v>174000</v>
      </c>
      <c r="E34" s="62">
        <f>SUM(E32:E33)</f>
        <v>177480</v>
      </c>
      <c r="F34" s="62">
        <f t="shared" ref="F34:AH34" si="13">SUM(F32:F33)</f>
        <v>181029.6</v>
      </c>
      <c r="G34" s="62">
        <f t="shared" si="13"/>
        <v>184650.19200000001</v>
      </c>
      <c r="H34" s="62">
        <f t="shared" si="13"/>
        <v>188343.19584</v>
      </c>
      <c r="I34" s="62">
        <f t="shared" si="13"/>
        <v>192110.05975680001</v>
      </c>
      <c r="J34" s="62">
        <f t="shared" si="13"/>
        <v>195952.26095193601</v>
      </c>
      <c r="K34" s="62">
        <f t="shared" si="13"/>
        <v>199871.30617097474</v>
      </c>
      <c r="L34" s="62">
        <f t="shared" si="13"/>
        <v>203868.73229439423</v>
      </c>
      <c r="M34" s="62">
        <f t="shared" si="13"/>
        <v>207946.1069402821</v>
      </c>
      <c r="N34" s="62">
        <f t="shared" si="13"/>
        <v>212105.02907908778</v>
      </c>
      <c r="O34" s="62">
        <f t="shared" si="13"/>
        <v>216347.12966066954</v>
      </c>
      <c r="P34" s="62">
        <f t="shared" si="13"/>
        <v>220674.07225388294</v>
      </c>
      <c r="Q34" s="62">
        <f t="shared" si="13"/>
        <v>225087.5536989606</v>
      </c>
      <c r="R34" s="62">
        <f t="shared" si="13"/>
        <v>229589.30477293982</v>
      </c>
      <c r="S34" s="62">
        <f t="shared" si="13"/>
        <v>234181.09086839863</v>
      </c>
      <c r="T34" s="62">
        <f t="shared" si="13"/>
        <v>238864.7126857666</v>
      </c>
      <c r="U34" s="62">
        <f t="shared" si="13"/>
        <v>243642.00693948194</v>
      </c>
      <c r="V34" s="62">
        <f t="shared" si="13"/>
        <v>248514.84707827159</v>
      </c>
      <c r="W34" s="62">
        <f t="shared" si="13"/>
        <v>253485.14401983703</v>
      </c>
      <c r="X34" s="62">
        <f t="shared" si="13"/>
        <v>258554.84690023377</v>
      </c>
      <c r="Y34" s="62">
        <f t="shared" si="13"/>
        <v>263725.94383823843</v>
      </c>
      <c r="Z34" s="62">
        <f t="shared" si="13"/>
        <v>269000.46271500323</v>
      </c>
      <c r="AA34" s="62">
        <f t="shared" si="13"/>
        <v>274380.47196930327</v>
      </c>
      <c r="AB34" s="62">
        <f t="shared" si="13"/>
        <v>279868.08140868938</v>
      </c>
      <c r="AC34" s="62">
        <f t="shared" si="13"/>
        <v>285465.44303686317</v>
      </c>
      <c r="AD34" s="62">
        <f t="shared" si="13"/>
        <v>291174.75189760042</v>
      </c>
      <c r="AE34" s="62">
        <f t="shared" si="13"/>
        <v>296998.24693555245</v>
      </c>
      <c r="AF34" s="62">
        <f t="shared" si="13"/>
        <v>302938.21187426348</v>
      </c>
      <c r="AG34" s="62">
        <f t="shared" si="13"/>
        <v>308996.97611174878</v>
      </c>
      <c r="AH34" s="63">
        <f t="shared" si="13"/>
        <v>315176.91563398379</v>
      </c>
    </row>
    <row r="36" spans="2:34">
      <c r="B36" s="21" t="s">
        <v>163</v>
      </c>
    </row>
    <row r="37" spans="2:34">
      <c r="B37" s="77" t="s">
        <v>164</v>
      </c>
      <c r="C37" s="80">
        <f>Randbedingungen!E29</f>
        <v>2.9033E-2</v>
      </c>
      <c r="D37" s="81">
        <f t="shared" ref="D37:AH37" si="14">1/(1+$C$37)^D1</f>
        <v>1</v>
      </c>
      <c r="E37" s="81">
        <f t="shared" si="14"/>
        <v>0.97178613319495089</v>
      </c>
      <c r="F37" s="81">
        <f t="shared" si="14"/>
        <v>0.94436828866999489</v>
      </c>
      <c r="G37" s="81">
        <f t="shared" si="14"/>
        <v>0.91772400755854766</v>
      </c>
      <c r="H37" s="81">
        <f t="shared" si="14"/>
        <v>0.8918314646454949</v>
      </c>
      <c r="I37" s="81">
        <f t="shared" si="14"/>
        <v>0.86666945048943522</v>
      </c>
      <c r="J37" s="81">
        <f t="shared" si="14"/>
        <v>0.84221735404932108</v>
      </c>
      <c r="K37" s="81">
        <f t="shared" si="14"/>
        <v>0.81845514580127288</v>
      </c>
      <c r="L37" s="81">
        <f t="shared" si="14"/>
        <v>0.79536336133172869</v>
      </c>
      <c r="M37" s="81">
        <f t="shared" si="14"/>
        <v>0.77292308539349919</v>
      </c>
      <c r="N37" s="81">
        <f t="shared" si="14"/>
        <v>0.75111593641165941</v>
      </c>
      <c r="O37" s="81">
        <f t="shared" si="14"/>
        <v>0.72992405142659122</v>
      </c>
      <c r="P37" s="81">
        <f t="shared" si="14"/>
        <v>0.70933007146183968</v>
      </c>
      <c r="Q37" s="81">
        <f t="shared" si="14"/>
        <v>0.68931712730479944</v>
      </c>
      <c r="R37" s="81">
        <f t="shared" si="14"/>
        <v>0.66986882568858264</v>
      </c>
      <c r="S37" s="81">
        <f t="shared" si="14"/>
        <v>0.65096923586375044</v>
      </c>
      <c r="T37" s="81">
        <f t="shared" si="14"/>
        <v>0.63260287654890601</v>
      </c>
      <c r="U37" s="81">
        <f t="shared" si="14"/>
        <v>0.61475470324946424</v>
      </c>
      <c r="V37" s="81">
        <f t="shared" si="14"/>
        <v>0.59741009593420646</v>
      </c>
      <c r="W37" s="81">
        <f t="shared" si="14"/>
        <v>0.5805548470595272</v>
      </c>
      <c r="X37" s="81">
        <f t="shared" si="14"/>
        <v>0.56417514993156404</v>
      </c>
      <c r="Y37" s="81">
        <f t="shared" si="14"/>
        <v>0.5482575873966764</v>
      </c>
      <c r="Z37" s="81">
        <f t="shared" si="14"/>
        <v>0.53278912085100893</v>
      </c>
      <c r="AA37" s="81">
        <f t="shared" si="14"/>
        <v>0.51775707956013939</v>
      </c>
      <c r="AB37" s="81">
        <f t="shared" si="14"/>
        <v>0.50314915028005847</v>
      </c>
      <c r="AC37" s="81">
        <f t="shared" si="14"/>
        <v>0.48895336717098326</v>
      </c>
      <c r="AD37" s="81">
        <f t="shared" si="14"/>
        <v>0.47515810199574093</v>
      </c>
      <c r="AE37" s="81">
        <f t="shared" si="14"/>
        <v>0.46175205459469321</v>
      </c>
      <c r="AF37" s="81">
        <f t="shared" si="14"/>
        <v>0.44872424362940083</v>
      </c>
      <c r="AG37" s="81">
        <f t="shared" si="14"/>
        <v>0.43606399758744457</v>
      </c>
      <c r="AH37" s="81">
        <f t="shared" si="14"/>
        <v>0.42376094604103498</v>
      </c>
    </row>
    <row r="38" spans="2:34">
      <c r="B38" s="77" t="s">
        <v>165</v>
      </c>
      <c r="C38" s="78"/>
      <c r="D38" s="79">
        <f>D10</f>
        <v>-445500</v>
      </c>
      <c r="E38" s="79">
        <f t="shared" ref="E38:AH38" si="15">E34-(E22+E18+E29+E10)</f>
        <v>23069.800000000017</v>
      </c>
      <c r="F38" s="79">
        <f t="shared" si="15"/>
        <v>25447.321600000054</v>
      </c>
      <c r="G38" s="79">
        <f t="shared" si="15"/>
        <v>27883.813139200065</v>
      </c>
      <c r="H38" s="79">
        <f t="shared" si="15"/>
        <v>30380.548897170462</v>
      </c>
      <c r="I38" s="79">
        <f t="shared" si="15"/>
        <v>-50008.166333675821</v>
      </c>
      <c r="J38" s="79">
        <f t="shared" si="15"/>
        <v>35559.98308376866</v>
      </c>
      <c r="K38" s="79">
        <f t="shared" si="15"/>
        <v>38245.364602605987</v>
      </c>
      <c r="L38" s="79">
        <f t="shared" si="15"/>
        <v>40996.35763648522</v>
      </c>
      <c r="M38" s="79">
        <f t="shared" si="15"/>
        <v>43814.374344050622</v>
      </c>
      <c r="N38" s="79">
        <f t="shared" si="15"/>
        <v>-45961.825825976033</v>
      </c>
      <c r="O38" s="79">
        <f t="shared" si="15"/>
        <v>49657.274461936264</v>
      </c>
      <c r="P38" s="79">
        <f t="shared" si="15"/>
        <v>52685.131044362148</v>
      </c>
      <c r="Q38" s="79">
        <f t="shared" si="15"/>
        <v>55785.958878384117</v>
      </c>
      <c r="R38" s="79">
        <f t="shared" si="15"/>
        <v>58961.322679054691</v>
      </c>
      <c r="S38" s="79">
        <f t="shared" si="15"/>
        <v>-248336.31616133949</v>
      </c>
      <c r="T38" s="79">
        <f t="shared" si="15"/>
        <v>65542.079733130464</v>
      </c>
      <c r="U38" s="79">
        <f t="shared" si="15"/>
        <v>68950.767107762571</v>
      </c>
      <c r="V38" s="79">
        <f t="shared" si="15"/>
        <v>72440.580055427679</v>
      </c>
      <c r="W38" s="79">
        <f t="shared" si="15"/>
        <v>76013.252074639284</v>
      </c>
      <c r="X38" s="79">
        <f t="shared" si="15"/>
        <v>-35970.829779000138</v>
      </c>
      <c r="Y38" s="79">
        <f t="shared" si="15"/>
        <v>83414.287311255408</v>
      </c>
      <c r="Z38" s="79">
        <f t="shared" si="15"/>
        <v>87246.299724627985</v>
      </c>
      <c r="AA38" s="79">
        <f t="shared" si="15"/>
        <v>91168.471109329053</v>
      </c>
      <c r="AB38" s="79">
        <f t="shared" si="15"/>
        <v>95182.721686955891</v>
      </c>
      <c r="AC38" s="79">
        <f t="shared" si="15"/>
        <v>-29895.59162024234</v>
      </c>
      <c r="AD38" s="79">
        <f t="shared" si="15"/>
        <v>103495.34041876817</v>
      </c>
      <c r="AE38" s="79">
        <f t="shared" si="15"/>
        <v>107797.75057003467</v>
      </c>
      <c r="AF38" s="79">
        <f t="shared" si="15"/>
        <v>112200.3255752672</v>
      </c>
      <c r="AG38" s="79">
        <f t="shared" si="15"/>
        <v>116705.1922112527</v>
      </c>
      <c r="AH38" s="79">
        <f t="shared" si="15"/>
        <v>121314.52112597215</v>
      </c>
    </row>
    <row r="39" spans="2:34">
      <c r="B39" s="77" t="s">
        <v>166</v>
      </c>
      <c r="C39" s="78"/>
      <c r="D39" s="79">
        <f t="shared" ref="D39:AH39" si="16">D38*D37</f>
        <v>-445500</v>
      </c>
      <c r="E39" s="79">
        <f t="shared" si="16"/>
        <v>22418.911735580896</v>
      </c>
      <c r="F39" s="79">
        <f t="shared" si="16"/>
        <v>24031.643550627046</v>
      </c>
      <c r="G39" s="79">
        <f t="shared" si="16"/>
        <v>25589.64474012037</v>
      </c>
      <c r="H39" s="79">
        <f t="shared" si="16"/>
        <v>27094.329419697609</v>
      </c>
      <c r="I39" s="79">
        <f t="shared" si="16"/>
        <v>-43340.550036391098</v>
      </c>
      <c r="J39" s="79">
        <f t="shared" si="16"/>
        <v>29949.234862850259</v>
      </c>
      <c r="K39" s="79">
        <f t="shared" si="16"/>
        <v>31302.115462048725</v>
      </c>
      <c r="L39" s="79">
        <f t="shared" si="16"/>
        <v>32607.000812112568</v>
      </c>
      <c r="M39" s="79">
        <f t="shared" si="16"/>
        <v>33865.141402589376</v>
      </c>
      <c r="N39" s="79">
        <f t="shared" si="16"/>
        <v>-34522.659844467576</v>
      </c>
      <c r="O39" s="79">
        <f t="shared" si="16"/>
        <v>36246.038958058722</v>
      </c>
      <c r="P39" s="79">
        <f t="shared" si="16"/>
        <v>37371.147768673793</v>
      </c>
      <c r="Q39" s="79">
        <f t="shared" si="16"/>
        <v>38454.216917991413</v>
      </c>
      <c r="R39" s="79">
        <f t="shared" si="16"/>
        <v>39496.351984063964</v>
      </c>
      <c r="S39" s="79">
        <f t="shared" si="16"/>
        <v>-161659.30196876591</v>
      </c>
      <c r="T39" s="79">
        <f t="shared" si="16"/>
        <v>41462.108174176086</v>
      </c>
      <c r="U39" s="79">
        <f t="shared" si="16"/>
        <v>42387.808372155501</v>
      </c>
      <c r="V39" s="79">
        <f t="shared" si="16"/>
        <v>43276.733880442611</v>
      </c>
      <c r="W39" s="79">
        <f t="shared" si="16"/>
        <v>44129.861932689499</v>
      </c>
      <c r="X39" s="79">
        <f t="shared" si="16"/>
        <v>-20293.848283730171</v>
      </c>
      <c r="Y39" s="79">
        <f t="shared" si="16"/>
        <v>45732.515915682088</v>
      </c>
      <c r="Z39" s="79">
        <f t="shared" si="16"/>
        <v>46483.87932778817</v>
      </c>
      <c r="AA39" s="79">
        <f t="shared" si="16"/>
        <v>47203.121349529152</v>
      </c>
      <c r="AB39" s="79">
        <f t="shared" si="16"/>
        <v>47891.105538135147</v>
      </c>
      <c r="AC39" s="79">
        <f t="shared" si="16"/>
        <v>-14617.550186286122</v>
      </c>
      <c r="AD39" s="79">
        <f t="shared" si="16"/>
        <v>49176.64951878498</v>
      </c>
      <c r="AE39" s="79">
        <f t="shared" si="16"/>
        <v>49775.832806399769</v>
      </c>
      <c r="AF39" s="79">
        <f t="shared" si="16"/>
        <v>50347.006228734288</v>
      </c>
      <c r="AG39" s="79">
        <f t="shared" si="16"/>
        <v>50890.932654849952</v>
      </c>
      <c r="AH39" s="79">
        <f t="shared" si="16"/>
        <v>51408.356240857087</v>
      </c>
    </row>
    <row r="40" spans="2:34">
      <c r="B40" s="77" t="s">
        <v>215</v>
      </c>
      <c r="C40" s="78"/>
      <c r="D40" s="79">
        <f>D39</f>
        <v>-445500</v>
      </c>
      <c r="E40" s="79">
        <f>D40+E39</f>
        <v>-423081.08826441912</v>
      </c>
      <c r="F40" s="79">
        <f t="shared" ref="F40:AH40" si="17">E40+F39</f>
        <v>-399049.44471379207</v>
      </c>
      <c r="G40" s="79">
        <f t="shared" si="17"/>
        <v>-373459.79997367167</v>
      </c>
      <c r="H40" s="79">
        <f t="shared" si="17"/>
        <v>-346365.47055397404</v>
      </c>
      <c r="I40" s="79">
        <f t="shared" si="17"/>
        <v>-389706.02059036517</v>
      </c>
      <c r="J40" s="79">
        <f t="shared" si="17"/>
        <v>-359756.78572751489</v>
      </c>
      <c r="K40" s="79">
        <f t="shared" si="17"/>
        <v>-328454.67026546615</v>
      </c>
      <c r="L40" s="79">
        <f t="shared" si="17"/>
        <v>-295847.66945335356</v>
      </c>
      <c r="M40" s="79">
        <f t="shared" si="17"/>
        <v>-261982.52805076417</v>
      </c>
      <c r="N40" s="79">
        <f t="shared" si="17"/>
        <v>-296505.18789523176</v>
      </c>
      <c r="O40" s="79">
        <f t="shared" si="17"/>
        <v>-260259.14893717304</v>
      </c>
      <c r="P40" s="79">
        <f t="shared" si="17"/>
        <v>-222888.00116849924</v>
      </c>
      <c r="Q40" s="79">
        <f t="shared" si="17"/>
        <v>-184433.78425050783</v>
      </c>
      <c r="R40" s="79">
        <f t="shared" si="17"/>
        <v>-144937.43226644385</v>
      </c>
      <c r="S40" s="79">
        <f t="shared" si="17"/>
        <v>-306596.73423520976</v>
      </c>
      <c r="T40" s="79">
        <f t="shared" si="17"/>
        <v>-265134.62606103369</v>
      </c>
      <c r="U40" s="79">
        <f t="shared" si="17"/>
        <v>-222746.81768887819</v>
      </c>
      <c r="V40" s="79">
        <f t="shared" si="17"/>
        <v>-179470.08380843559</v>
      </c>
      <c r="W40" s="79">
        <f t="shared" si="17"/>
        <v>-135340.22187574609</v>
      </c>
      <c r="X40" s="79">
        <f t="shared" si="17"/>
        <v>-155634.07015947625</v>
      </c>
      <c r="Y40" s="79">
        <f t="shared" si="17"/>
        <v>-109901.55424379416</v>
      </c>
      <c r="Z40" s="79">
        <f t="shared" si="17"/>
        <v>-63417.674916005992</v>
      </c>
      <c r="AA40" s="79">
        <f t="shared" si="17"/>
        <v>-16214.553566476839</v>
      </c>
      <c r="AB40" s="79">
        <f t="shared" si="17"/>
        <v>31676.551971658308</v>
      </c>
      <c r="AC40" s="79">
        <f t="shared" si="17"/>
        <v>17059.001785372187</v>
      </c>
      <c r="AD40" s="79">
        <f t="shared" si="17"/>
        <v>66235.65130415716</v>
      </c>
      <c r="AE40" s="79">
        <f t="shared" si="17"/>
        <v>116011.48411055692</v>
      </c>
      <c r="AF40" s="79">
        <f t="shared" si="17"/>
        <v>166358.49033929122</v>
      </c>
      <c r="AG40" s="79">
        <f t="shared" si="17"/>
        <v>217249.42299414118</v>
      </c>
      <c r="AH40" s="79">
        <f t="shared" si="17"/>
        <v>268657.77923499828</v>
      </c>
    </row>
    <row r="41" spans="2:34">
      <c r="B41" s="248" t="s">
        <v>214</v>
      </c>
      <c r="D41" s="249"/>
      <c r="E41" s="249">
        <f>IF(E40&lt;=0,0,1)</f>
        <v>0</v>
      </c>
      <c r="F41" s="249">
        <f t="shared" ref="F41:AH41" si="18">IF(F40&lt;=0,0,1)</f>
        <v>0</v>
      </c>
      <c r="G41" s="249">
        <f t="shared" si="18"/>
        <v>0</v>
      </c>
      <c r="H41" s="249">
        <f t="shared" si="18"/>
        <v>0</v>
      </c>
      <c r="I41" s="249">
        <f t="shared" si="18"/>
        <v>0</v>
      </c>
      <c r="J41" s="249">
        <f t="shared" si="18"/>
        <v>0</v>
      </c>
      <c r="K41" s="249">
        <f t="shared" si="18"/>
        <v>0</v>
      </c>
      <c r="L41" s="249">
        <f t="shared" si="18"/>
        <v>0</v>
      </c>
      <c r="M41" s="249">
        <f t="shared" si="18"/>
        <v>0</v>
      </c>
      <c r="N41" s="249">
        <f t="shared" si="18"/>
        <v>0</v>
      </c>
      <c r="O41" s="249">
        <f t="shared" si="18"/>
        <v>0</v>
      </c>
      <c r="P41" s="249">
        <f t="shared" si="18"/>
        <v>0</v>
      </c>
      <c r="Q41" s="249">
        <f t="shared" si="18"/>
        <v>0</v>
      </c>
      <c r="R41" s="249">
        <f t="shared" si="18"/>
        <v>0</v>
      </c>
      <c r="S41" s="249">
        <f t="shared" si="18"/>
        <v>0</v>
      </c>
      <c r="T41" s="249">
        <f t="shared" si="18"/>
        <v>0</v>
      </c>
      <c r="U41" s="249">
        <f t="shared" si="18"/>
        <v>0</v>
      </c>
      <c r="V41" s="249">
        <f t="shared" si="18"/>
        <v>0</v>
      </c>
      <c r="W41" s="249">
        <f t="shared" si="18"/>
        <v>0</v>
      </c>
      <c r="X41" s="249">
        <f t="shared" si="18"/>
        <v>0</v>
      </c>
      <c r="Y41" s="249">
        <f t="shared" si="18"/>
        <v>0</v>
      </c>
      <c r="Z41" s="249">
        <f t="shared" si="18"/>
        <v>0</v>
      </c>
      <c r="AA41" s="249">
        <f t="shared" si="18"/>
        <v>0</v>
      </c>
      <c r="AB41" s="249">
        <f t="shared" si="18"/>
        <v>1</v>
      </c>
      <c r="AC41" s="249">
        <f t="shared" si="18"/>
        <v>1</v>
      </c>
      <c r="AD41" s="249">
        <f t="shared" si="18"/>
        <v>1</v>
      </c>
      <c r="AE41" s="249">
        <f t="shared" si="18"/>
        <v>1</v>
      </c>
      <c r="AF41" s="249">
        <f t="shared" si="18"/>
        <v>1</v>
      </c>
      <c r="AG41" s="249">
        <f t="shared" si="18"/>
        <v>1</v>
      </c>
      <c r="AH41" s="249">
        <f t="shared" si="18"/>
        <v>1</v>
      </c>
    </row>
    <row r="42" spans="2:34" s="149" customFormat="1" ht="15.75" thickBot="1">
      <c r="B42" s="146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</row>
    <row r="43" spans="2:34">
      <c r="B43" s="75" t="s">
        <v>168</v>
      </c>
      <c r="C43" s="73">
        <f>ROUND(SUM(D39:AH39),0)</f>
        <v>268658</v>
      </c>
      <c r="D43" s="450" t="str">
        <f>IF(C43=C44,"Erfolgreich","Fehlerhaft")</f>
        <v>Erfolgreich</v>
      </c>
    </row>
    <row r="44" spans="2:34" ht="15.75" thickBot="1">
      <c r="B44" s="76" t="s">
        <v>169</v>
      </c>
      <c r="C44" s="74">
        <f>ROUND(NPV(C37,E38:AH38)+D38,0)</f>
        <v>268658</v>
      </c>
      <c r="D44" s="451"/>
    </row>
    <row r="45" spans="2:34" ht="15.75" thickBot="1"/>
    <row r="46" spans="2:34" ht="15.75" thickBot="1">
      <c r="B46" s="228" t="s">
        <v>170</v>
      </c>
      <c r="C46" s="229">
        <f>(C37*(1+C37)^30)/((1+C37)^30-1)</f>
        <v>5.0383603472435742E-2</v>
      </c>
      <c r="D46" s="230" t="s">
        <v>167</v>
      </c>
    </row>
    <row r="47" spans="2:34">
      <c r="B47" s="75" t="s">
        <v>171</v>
      </c>
      <c r="C47" s="73">
        <f>ROUND(C43*C46,0)</f>
        <v>13536</v>
      </c>
      <c r="D47" s="450" t="str">
        <f>IF(C47=C48,"Erfolgreich","Fehlerhaft")</f>
        <v>Erfolgreich</v>
      </c>
      <c r="G47" s="31"/>
      <c r="H47" s="32"/>
      <c r="I47" s="33"/>
    </row>
    <row r="48" spans="2:34" ht="15.75" thickBot="1">
      <c r="B48" s="76" t="s">
        <v>172</v>
      </c>
      <c r="C48" s="74">
        <f>ROUND(PMT(C37,Randbedingungen!E5,-C44),0)</f>
        <v>13536</v>
      </c>
      <c r="D48" s="451"/>
      <c r="G48" s="31"/>
      <c r="H48" s="32"/>
      <c r="I48" s="33"/>
    </row>
    <row r="49" spans="2:9">
      <c r="G49" s="31"/>
      <c r="H49" s="32"/>
      <c r="I49" s="33"/>
    </row>
    <row r="50" spans="2:9">
      <c r="G50" s="31"/>
      <c r="H50" s="32"/>
      <c r="I50" s="33"/>
    </row>
    <row r="51" spans="2:9">
      <c r="G51" s="31"/>
      <c r="H51" s="32"/>
    </row>
    <row r="52" spans="2:9" ht="15.75" thickBot="1">
      <c r="C52" s="69" t="s">
        <v>260</v>
      </c>
      <c r="D52" s="69" t="s">
        <v>201</v>
      </c>
    </row>
    <row r="53" spans="2:9">
      <c r="B53" s="218" t="s">
        <v>125</v>
      </c>
      <c r="C53" s="275">
        <f>ROUND(NPV(C37,E10:AH10),0)*(-1)+D10</f>
        <v>-917554</v>
      </c>
      <c r="D53" s="219">
        <f>C53*$C$46</f>
        <v>-46229.676900547303</v>
      </c>
    </row>
    <row r="54" spans="2:9">
      <c r="B54" s="220" t="s">
        <v>1</v>
      </c>
      <c r="C54" s="274">
        <f>ROUND(NPV(C37,E18:AH18),0)*(-1)</f>
        <v>-1421609</v>
      </c>
      <c r="D54" s="221">
        <f t="shared" ref="D54:D57" si="19">C54*$C$46</f>
        <v>-71625.784148845909</v>
      </c>
    </row>
    <row r="55" spans="2:9">
      <c r="B55" s="220" t="s">
        <v>26</v>
      </c>
      <c r="C55" s="274">
        <f>ROUND(NPV(C37,E22:AH22),0)*(-1)</f>
        <v>-615395</v>
      </c>
      <c r="D55" s="221">
        <f t="shared" si="19"/>
        <v>-31005.817658919594</v>
      </c>
    </row>
    <row r="56" spans="2:9">
      <c r="B56" s="220" t="s">
        <v>69</v>
      </c>
      <c r="C56" s="274">
        <f>ROUND(NPV(C37,E29:AH29),0)*(-1)</f>
        <v>-1343278</v>
      </c>
      <c r="D56" s="221">
        <f t="shared" si="19"/>
        <v>-67679.186105246539</v>
      </c>
    </row>
    <row r="57" spans="2:9" ht="15.75" thickBot="1">
      <c r="B57" s="222" t="s">
        <v>139</v>
      </c>
      <c r="C57" s="276">
        <f>ROUND(NPV(C37,E34:AH34),0)</f>
        <v>4566494</v>
      </c>
      <c r="D57" s="223">
        <f t="shared" si="19"/>
        <v>230076.42295525697</v>
      </c>
    </row>
    <row r="58" spans="2:9" ht="15.75" thickBot="1"/>
    <row r="59" spans="2:9" ht="15.75" thickBot="1">
      <c r="B59" s="251" t="s">
        <v>134</v>
      </c>
      <c r="C59" s="277">
        <f>C57+C56+C55+C54+C53</f>
        <v>268658</v>
      </c>
      <c r="D59" s="225">
        <f>D57+D56+D55+D54+D53</f>
        <v>13535.958141697643</v>
      </c>
    </row>
  </sheetData>
  <sheetProtection algorithmName="SHA-512" hashValue="O6sqO+iKiHzU0Ew/37/u0txovjwgirf4RALhvDeRRfKSLDrI/27O46nP5AcbRbeYcka4ooKPD2zttjmGmd3acA==" saltValue="R9psTXG8uOJqkKbknymHPA==" spinCount="100000" sheet="1" objects="1" scenarios="1"/>
  <mergeCells count="2">
    <mergeCell ref="D43:D44"/>
    <mergeCell ref="D47:D48"/>
  </mergeCells>
  <conditionalFormatting sqref="D43">
    <cfRule type="containsText" dxfId="3" priority="3" operator="containsText" text="Fehlerhaft">
      <formula>NOT(ISERROR(SEARCH("Fehlerhaft",D43)))</formula>
    </cfRule>
    <cfRule type="containsText" dxfId="2" priority="4" operator="containsText" text="Erfolgreich">
      <formula>NOT(ISERROR(SEARCH("Erfolgreich",D43)))</formula>
    </cfRule>
  </conditionalFormatting>
  <conditionalFormatting sqref="D47:D48">
    <cfRule type="containsText" dxfId="1" priority="1" operator="containsText" text="Fehlerhaft">
      <formula>NOT(ISERROR(SEARCH("Fehlerhaft",D47)))</formula>
    </cfRule>
    <cfRule type="containsText" dxfId="0" priority="2" operator="containsText" text="Erfolgreich">
      <formula>NOT(ISERROR(SEARCH("Erfolgreich",D47)))</formula>
    </cfRule>
  </conditionalFormatting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8044342A06443489550D711D0288989" ma:contentTypeVersion="6" ma:contentTypeDescription="Ein neues Dokument erstellen." ma:contentTypeScope="" ma:versionID="579d165d35e177f40032d42bfc181ff6">
  <xsd:schema xmlns:xsd="http://www.w3.org/2001/XMLSchema" xmlns:xs="http://www.w3.org/2001/XMLSchema" xmlns:p="http://schemas.microsoft.com/office/2006/metadata/properties" xmlns:ns2="101bc445-dc93-48b3-b6c9-2d13f8c07508" xmlns:ns3="4384800d-ce38-418b-9966-0a8df3f32f19" targetNamespace="http://schemas.microsoft.com/office/2006/metadata/properties" ma:root="true" ma:fieldsID="e87270d08a197abe383165d99ab80c34" ns2:_="" ns3:_="">
    <xsd:import namespace="101bc445-dc93-48b3-b6c9-2d13f8c07508"/>
    <xsd:import namespace="4384800d-ce38-418b-9966-0a8df3f32f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1bc445-dc93-48b3-b6c9-2d13f8c07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4800d-ce38-418b-9966-0a8df3f32f1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4384800d-ce38-418b-9966-0a8df3f32f19">
      <UserInfo>
        <DisplayName>Fabio Voit</DisplayName>
        <AccountId>19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EA3C745-ACD0-4F76-84F6-0396AE5076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3427B7-FF1F-4D37-8403-DE316E59F0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1bc445-dc93-48b3-b6c9-2d13f8c07508"/>
    <ds:schemaRef ds:uri="4384800d-ce38-418b-9966-0a8df3f32f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0086C5C-2027-48EF-A64F-17672E36F242}">
  <ds:schemaRefs>
    <ds:schemaRef ds:uri="101bc445-dc93-48b3-b6c9-2d13f8c07508"/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metadata/properties"/>
    <ds:schemaRef ds:uri="4384800d-ce38-418b-9966-0a8df3f32f1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READ ME</vt:lpstr>
      <vt:lpstr>Input</vt:lpstr>
      <vt:lpstr>Randbedingungen</vt:lpstr>
      <vt:lpstr>Zusammenfassung</vt:lpstr>
      <vt:lpstr>Ergebnis</vt:lpstr>
      <vt:lpstr>Sensitivitätsanalyse</vt:lpstr>
      <vt:lpstr>Wirtschaftlichkeit (Neutral)</vt:lpstr>
      <vt:lpstr>Wirtschaftlichkeit (Positiv)</vt:lpstr>
      <vt:lpstr>Wirtschaftlichkeit (Negativ)</vt:lpstr>
      <vt:lpstr>Hilfsblatt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Leuschner, Erik</dc:creator>
  <cp:keywords/>
  <dc:description/>
  <cp:lastModifiedBy>Sophia Schüller</cp:lastModifiedBy>
  <cp:revision/>
  <dcterms:created xsi:type="dcterms:W3CDTF">2024-03-14T09:57:19Z</dcterms:created>
  <dcterms:modified xsi:type="dcterms:W3CDTF">2025-05-28T14:38:23Z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0x010100C8044342A06443489550D711D0288989</vt:lpwstr>
  </property>
</Properties>
</file>